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50" windowWidth="24825" windowHeight="11820" activeTab="1"/>
  </bookViews>
  <sheets>
    <sheet name="Historical GRT" sheetId="1" r:id="rId1"/>
    <sheet name="GRT" sheetId="6" r:id="rId2"/>
  </sheets>
  <definedNames>
    <definedName name="_xlnm.Print_Area" localSheetId="1">GRT!$B$81:$J$127</definedName>
    <definedName name="_xlnm.Print_Area" localSheetId="0">'Historical GRT'!#REF!</definedName>
  </definedNames>
  <calcPr calcId="145621"/>
</workbook>
</file>

<file path=xl/calcChain.xml><?xml version="1.0" encoding="utf-8"?>
<calcChain xmlns="http://schemas.openxmlformats.org/spreadsheetml/2006/main">
  <c r="N48" i="6" l="1"/>
  <c r="O48" i="6"/>
  <c r="N45" i="6"/>
  <c r="N65" i="6" s="1"/>
  <c r="N35" i="6"/>
  <c r="O35" i="6" s="1"/>
  <c r="Q44" i="6"/>
  <c r="M48" i="6"/>
  <c r="M45" i="6"/>
  <c r="M65" i="6"/>
  <c r="M35" i="6"/>
  <c r="L42" i="6"/>
  <c r="L48" i="6"/>
  <c r="L45" i="6"/>
  <c r="L35" i="6"/>
  <c r="K48" i="6"/>
  <c r="J48" i="6"/>
  <c r="K45" i="6"/>
  <c r="J45" i="6"/>
  <c r="J65" i="6"/>
  <c r="K65" i="6"/>
  <c r="L65" i="6"/>
  <c r="J35" i="6"/>
  <c r="D37" i="6"/>
  <c r="E37" i="6"/>
  <c r="F37" i="6"/>
  <c r="G37" i="6"/>
  <c r="H37" i="6"/>
  <c r="I37" i="6"/>
  <c r="I48" i="6"/>
  <c r="I45" i="6"/>
  <c r="I35" i="6"/>
  <c r="D28" i="6"/>
  <c r="O38" i="6"/>
  <c r="Q33" i="6"/>
  <c r="H42" i="6"/>
  <c r="H48" i="6"/>
  <c r="H45" i="6"/>
  <c r="H35" i="6"/>
  <c r="G45" i="6"/>
  <c r="G65" i="6"/>
  <c r="H65" i="6"/>
  <c r="I65" i="6"/>
  <c r="G35" i="6"/>
  <c r="F45" i="6"/>
  <c r="O39" i="6"/>
  <c r="Q36" i="6"/>
  <c r="F42" i="6"/>
  <c r="F48" i="6"/>
  <c r="F39" i="6"/>
  <c r="D38" i="6"/>
  <c r="F38" i="6"/>
  <c r="E38" i="6"/>
  <c r="G38" i="6"/>
  <c r="E39" i="6"/>
  <c r="E42" i="6"/>
  <c r="E48" i="6"/>
  <c r="E45" i="6"/>
  <c r="F65" i="6"/>
  <c r="C45" i="6"/>
  <c r="D45" i="6"/>
  <c r="F35" i="6"/>
  <c r="E35" i="6"/>
  <c r="D65" i="6"/>
  <c r="E65" i="6"/>
  <c r="D35" i="6"/>
  <c r="N39" i="6"/>
  <c r="M39" i="6"/>
  <c r="L39" i="6"/>
  <c r="K39" i="6"/>
  <c r="J39" i="6"/>
  <c r="I39" i="6"/>
  <c r="H39" i="6"/>
  <c r="G39" i="6"/>
  <c r="D39" i="6"/>
  <c r="N38" i="6"/>
  <c r="M38" i="6"/>
  <c r="L38" i="6"/>
  <c r="K38" i="6"/>
  <c r="J38" i="6"/>
  <c r="I38" i="6"/>
  <c r="H38" i="6"/>
  <c r="C38" i="6"/>
  <c r="C35" i="6"/>
  <c r="N34" i="6"/>
  <c r="O34" i="6"/>
  <c r="M34" i="6"/>
  <c r="L34" i="6"/>
  <c r="K34" i="6"/>
  <c r="J34" i="6"/>
  <c r="I34" i="6"/>
  <c r="H34" i="6"/>
  <c r="G34" i="6"/>
  <c r="B28" i="1"/>
  <c r="B24" i="1"/>
  <c r="B20" i="1"/>
  <c r="B8" i="1"/>
  <c r="B7" i="1"/>
  <c r="F34" i="6"/>
  <c r="E34" i="6"/>
  <c r="D34" i="6"/>
  <c r="C34" i="6"/>
  <c r="N33" i="6"/>
  <c r="O33" i="6"/>
  <c r="M33" i="6"/>
  <c r="L33" i="6"/>
  <c r="K33" i="6"/>
  <c r="J33" i="6"/>
  <c r="I33" i="6"/>
  <c r="H33" i="6"/>
  <c r="G33" i="6"/>
  <c r="F33" i="6"/>
  <c r="E33" i="6"/>
  <c r="D33" i="6"/>
  <c r="C33" i="6"/>
  <c r="N32" i="6"/>
  <c r="M32" i="6"/>
  <c r="O32" i="6"/>
  <c r="B27" i="1"/>
  <c r="L32" i="6"/>
  <c r="K32" i="6"/>
  <c r="J32" i="6"/>
  <c r="H32" i="6"/>
  <c r="I32" i="6"/>
  <c r="G32" i="6"/>
  <c r="F32" i="6"/>
  <c r="E32" i="6"/>
  <c r="D32" i="6"/>
  <c r="C32" i="6"/>
  <c r="N31" i="6"/>
  <c r="M31" i="6"/>
  <c r="F31" i="6"/>
  <c r="L31" i="6"/>
  <c r="K31" i="6"/>
  <c r="J31" i="6"/>
  <c r="I31" i="6"/>
  <c r="H31" i="6"/>
  <c r="G31" i="6"/>
  <c r="E31" i="6"/>
  <c r="D31" i="6"/>
  <c r="C31" i="6"/>
  <c r="O31" i="6"/>
  <c r="B26" i="1"/>
  <c r="N30" i="6"/>
  <c r="M30" i="6"/>
  <c r="L30" i="6"/>
  <c r="K30" i="6"/>
  <c r="J30" i="6"/>
  <c r="I30" i="6"/>
  <c r="H30" i="6"/>
  <c r="G30" i="6"/>
  <c r="F30" i="6"/>
  <c r="E30" i="6"/>
  <c r="D30" i="6"/>
  <c r="C30" i="6"/>
  <c r="O30" i="6"/>
  <c r="B25" i="1"/>
  <c r="C29" i="6"/>
  <c r="O29" i="6"/>
  <c r="F29" i="6"/>
  <c r="G29" i="6"/>
  <c r="H29" i="6"/>
  <c r="I29" i="6"/>
  <c r="J29" i="6"/>
  <c r="K29" i="6"/>
  <c r="L29" i="6"/>
  <c r="M29" i="6"/>
  <c r="N29" i="6"/>
  <c r="C24" i="6"/>
  <c r="C62" i="6"/>
  <c r="C25" i="6"/>
  <c r="O25" i="6"/>
  <c r="C26" i="6"/>
  <c r="O26" i="6"/>
  <c r="B21" i="1"/>
  <c r="C27" i="6"/>
  <c r="C28" i="6"/>
  <c r="O12" i="6"/>
  <c r="O13" i="6"/>
  <c r="O14" i="6"/>
  <c r="B9" i="1"/>
  <c r="O15" i="6"/>
  <c r="B10" i="1"/>
  <c r="O16" i="6"/>
  <c r="O17" i="6"/>
  <c r="B12" i="1"/>
  <c r="O18" i="6"/>
  <c r="B13" i="1"/>
  <c r="O19" i="6"/>
  <c r="B14" i="1"/>
  <c r="O20" i="6"/>
  <c r="B15" i="1"/>
  <c r="O21" i="6"/>
  <c r="B16" i="1"/>
  <c r="O22" i="6"/>
  <c r="B17" i="1"/>
  <c r="D23" i="6"/>
  <c r="I23" i="6"/>
  <c r="C72" i="6"/>
  <c r="J23" i="6"/>
  <c r="K23" i="6"/>
  <c r="K61" i="6"/>
  <c r="L23" i="6"/>
  <c r="M23" i="6"/>
  <c r="N23" i="6"/>
  <c r="D24" i="6"/>
  <c r="E24" i="6"/>
  <c r="F24" i="6"/>
  <c r="G24" i="6"/>
  <c r="G62" i="6"/>
  <c r="H24" i="6"/>
  <c r="I24" i="6"/>
  <c r="J24" i="6"/>
  <c r="C76" i="6"/>
  <c r="K24" i="6"/>
  <c r="K62" i="6"/>
  <c r="L24" i="6"/>
  <c r="M24" i="6"/>
  <c r="N24" i="6"/>
  <c r="D25" i="6"/>
  <c r="E25" i="6"/>
  <c r="F25" i="6"/>
  <c r="G25" i="6"/>
  <c r="G63" i="6"/>
  <c r="H25" i="6"/>
  <c r="I25" i="6"/>
  <c r="I63" i="6"/>
  <c r="J25" i="6"/>
  <c r="K25" i="6"/>
  <c r="L25" i="6"/>
  <c r="L63" i="6"/>
  <c r="M25" i="6"/>
  <c r="M63" i="6"/>
  <c r="N25" i="6"/>
  <c r="D26" i="6"/>
  <c r="E26" i="6"/>
  <c r="F26" i="6"/>
  <c r="G26" i="6"/>
  <c r="H26" i="6"/>
  <c r="I26" i="6"/>
  <c r="J26" i="6"/>
  <c r="K26" i="6"/>
  <c r="L26" i="6"/>
  <c r="M26" i="6"/>
  <c r="N26" i="6"/>
  <c r="D27" i="6"/>
  <c r="O27" i="6"/>
  <c r="B22" i="1"/>
  <c r="E27" i="6"/>
  <c r="F27" i="6"/>
  <c r="G27" i="6"/>
  <c r="H27" i="6"/>
  <c r="I27" i="6"/>
  <c r="J27" i="6"/>
  <c r="K27" i="6"/>
  <c r="L27" i="6"/>
  <c r="M27" i="6"/>
  <c r="N27" i="6"/>
  <c r="O28" i="6"/>
  <c r="B23" i="1"/>
  <c r="E28" i="6"/>
  <c r="F28" i="6"/>
  <c r="G28" i="6"/>
  <c r="H28" i="6"/>
  <c r="I28" i="6"/>
  <c r="J28" i="6"/>
  <c r="K28" i="6"/>
  <c r="L28" i="6"/>
  <c r="M28" i="6"/>
  <c r="N28" i="6"/>
  <c r="D29" i="6"/>
  <c r="E29" i="6"/>
  <c r="A29" i="6"/>
  <c r="A30" i="6"/>
  <c r="A37" i="6"/>
  <c r="A38" i="6"/>
  <c r="A39" i="6"/>
  <c r="A40" i="6"/>
  <c r="A41" i="6"/>
  <c r="A42" i="6"/>
  <c r="A43" i="6"/>
  <c r="A44" i="6"/>
  <c r="A45" i="6"/>
  <c r="A46" i="6"/>
  <c r="A47" i="6"/>
  <c r="A48" i="6"/>
  <c r="N63" i="6"/>
  <c r="K63" i="6"/>
  <c r="J63" i="6"/>
  <c r="H63" i="6"/>
  <c r="F63" i="6"/>
  <c r="E63" i="6"/>
  <c r="D63" i="6"/>
  <c r="N62" i="6"/>
  <c r="M62" i="6"/>
  <c r="L62" i="6"/>
  <c r="J62" i="6"/>
  <c r="I62" i="6"/>
  <c r="H62" i="6"/>
  <c r="F62" i="6"/>
  <c r="E62" i="6"/>
  <c r="D62" i="6"/>
  <c r="N61" i="6"/>
  <c r="M61" i="6"/>
  <c r="L61" i="6"/>
  <c r="J61" i="6"/>
  <c r="I61" i="6"/>
  <c r="H61" i="6"/>
  <c r="G61" i="6"/>
  <c r="F61" i="6"/>
  <c r="E61" i="6"/>
  <c r="D61" i="6"/>
  <c r="C61" i="6"/>
  <c r="N60" i="6"/>
  <c r="M60" i="6"/>
  <c r="L60" i="6"/>
  <c r="K60" i="6"/>
  <c r="J60" i="6"/>
  <c r="I60" i="6"/>
  <c r="H60" i="6"/>
  <c r="G60" i="6"/>
  <c r="F60" i="6"/>
  <c r="E60" i="6"/>
  <c r="D60" i="6"/>
  <c r="C60" i="6"/>
  <c r="N59" i="6"/>
  <c r="M59" i="6"/>
  <c r="L59" i="6"/>
  <c r="K59" i="6"/>
  <c r="J59" i="6"/>
  <c r="I59" i="6"/>
  <c r="H59" i="6"/>
  <c r="G59" i="6"/>
  <c r="F59" i="6"/>
  <c r="E59" i="6"/>
  <c r="D59" i="6"/>
  <c r="C59" i="6"/>
  <c r="N58" i="6"/>
  <c r="M58" i="6"/>
  <c r="L58" i="6"/>
  <c r="K58" i="6"/>
  <c r="J58" i="6"/>
  <c r="I58" i="6"/>
  <c r="H58" i="6"/>
  <c r="G58" i="6"/>
  <c r="F58" i="6"/>
  <c r="E58" i="6"/>
  <c r="D58" i="6"/>
  <c r="C58" i="6"/>
  <c r="N57" i="6"/>
  <c r="M57" i="6"/>
  <c r="L57" i="6"/>
  <c r="K57" i="6"/>
  <c r="J57" i="6"/>
  <c r="I57" i="6"/>
  <c r="H57" i="6"/>
  <c r="G57" i="6"/>
  <c r="F57" i="6"/>
  <c r="E57" i="6"/>
  <c r="D57" i="6"/>
  <c r="C57" i="6"/>
  <c r="N56" i="6"/>
  <c r="M56" i="6"/>
  <c r="L56" i="6"/>
  <c r="K56" i="6"/>
  <c r="J56" i="6"/>
  <c r="I56" i="6"/>
  <c r="H56" i="6"/>
  <c r="G56" i="6"/>
  <c r="F56" i="6"/>
  <c r="E56" i="6"/>
  <c r="D56" i="6"/>
  <c r="C56" i="6"/>
  <c r="N55" i="6"/>
  <c r="M55" i="6"/>
  <c r="L55" i="6"/>
  <c r="K55" i="6"/>
  <c r="J55" i="6"/>
  <c r="I55" i="6"/>
  <c r="H55" i="6"/>
  <c r="G55" i="6"/>
  <c r="F55" i="6"/>
  <c r="E55" i="6"/>
  <c r="D55" i="6"/>
  <c r="C55" i="6"/>
  <c r="N54" i="6"/>
  <c r="M54" i="6"/>
  <c r="L54" i="6"/>
  <c r="K54" i="6"/>
  <c r="J54" i="6"/>
  <c r="I54" i="6"/>
  <c r="H54" i="6"/>
  <c r="G54" i="6"/>
  <c r="F54" i="6"/>
  <c r="E54" i="6"/>
  <c r="D54" i="6"/>
  <c r="C54" i="6"/>
  <c r="N53" i="6"/>
  <c r="M53" i="6"/>
  <c r="L53" i="6"/>
  <c r="K53" i="6"/>
  <c r="J53" i="6"/>
  <c r="I53" i="6"/>
  <c r="H53" i="6"/>
  <c r="G53" i="6"/>
  <c r="F53" i="6"/>
  <c r="E53" i="6"/>
  <c r="D53" i="6"/>
  <c r="C53" i="6"/>
  <c r="N52" i="6"/>
  <c r="M52" i="6"/>
  <c r="L52" i="6"/>
  <c r="K52" i="6"/>
  <c r="J52" i="6"/>
  <c r="I52" i="6"/>
  <c r="H52" i="6"/>
  <c r="G52" i="6"/>
  <c r="F52" i="6"/>
  <c r="E52" i="6"/>
  <c r="D52" i="6"/>
  <c r="C52" i="6"/>
  <c r="N51" i="6"/>
  <c r="M51" i="6"/>
  <c r="L51" i="6"/>
  <c r="K51" i="6"/>
  <c r="J51" i="6"/>
  <c r="I51" i="6"/>
  <c r="H51" i="6"/>
  <c r="G51" i="6"/>
  <c r="F51" i="6"/>
  <c r="E51" i="6"/>
  <c r="D51" i="6"/>
  <c r="C51" i="6"/>
  <c r="E69" i="6"/>
  <c r="E68" i="6"/>
  <c r="F69" i="6"/>
  <c r="C73" i="6"/>
  <c r="C78" i="6"/>
  <c r="C77" i="6"/>
  <c r="C75" i="6"/>
  <c r="C74" i="6"/>
  <c r="O23" i="6"/>
  <c r="B18" i="1"/>
  <c r="O24" i="6"/>
  <c r="B19" i="1"/>
  <c r="C63" i="6"/>
  <c r="C65" i="6"/>
  <c r="M42" i="6"/>
  <c r="J42" i="6"/>
  <c r="I42" i="6"/>
  <c r="K42" i="6"/>
  <c r="D42" i="6"/>
  <c r="D48" i="6"/>
  <c r="N42" i="6"/>
  <c r="C39" i="6"/>
  <c r="G42" i="6"/>
  <c r="G48" i="6"/>
  <c r="B11" i="1"/>
  <c r="C42" i="6"/>
  <c r="C48" i="6"/>
  <c r="O45" i="6"/>
  <c r="B29" i="1" l="1"/>
</calcChain>
</file>

<file path=xl/sharedStrings.xml><?xml version="1.0" encoding="utf-8"?>
<sst xmlns="http://schemas.openxmlformats.org/spreadsheetml/2006/main" count="65" uniqueCount="61">
  <si>
    <t>Historical Data:</t>
  </si>
  <si>
    <t>FY 1995</t>
  </si>
  <si>
    <t>FY 1996</t>
  </si>
  <si>
    <t>FY 1997</t>
  </si>
  <si>
    <t>FY 1998</t>
  </si>
  <si>
    <t>FY 1999</t>
  </si>
  <si>
    <t>FY 2000</t>
  </si>
  <si>
    <t>FY 2001</t>
  </si>
  <si>
    <t>Total</t>
  </si>
  <si>
    <t>Average</t>
  </si>
  <si>
    <t>% of total</t>
  </si>
  <si>
    <t>Actual</t>
  </si>
  <si>
    <t>Proj. Diff.</t>
  </si>
  <si>
    <t>FY 2002</t>
  </si>
  <si>
    <t>FY 2003</t>
  </si>
  <si>
    <t>FY 1994</t>
  </si>
  <si>
    <t>FY 1993</t>
  </si>
  <si>
    <t>FY 2004</t>
  </si>
  <si>
    <t>.125% GRT</t>
  </si>
  <si>
    <t>FY 2005</t>
  </si>
  <si>
    <t>FY 2006</t>
  </si>
  <si>
    <t>Q3 2004</t>
  </si>
  <si>
    <t>Q4 2004</t>
  </si>
  <si>
    <t>Q2 2005</t>
  </si>
  <si>
    <t>Q1 2005</t>
  </si>
  <si>
    <t>Q3 2005</t>
  </si>
  <si>
    <t>Q2 2004</t>
  </si>
  <si>
    <t>Feb 04-Nov 04</t>
  </si>
  <si>
    <t>Feb 05-Nov 05</t>
  </si>
  <si>
    <t>FY 2007</t>
  </si>
  <si>
    <t>FY 2008</t>
  </si>
  <si>
    <t>FY 2009</t>
  </si>
  <si>
    <t>FY 2010</t>
  </si>
  <si>
    <t xml:space="preserve">September or October when three-four months of actual GRT returns are known. </t>
  </si>
  <si>
    <t xml:space="preserve">Rows (1-18) show the actual monthly gross receipts (GRT) collections for the General Fund.  In row (21) the average monthly GRT is calculated for each month.  Row (22) shows </t>
  </si>
  <si>
    <t>the least productive GRT months.  Row (25) shows what needs to be collected in FY 2010 to meet the annual GRT budget if FY 2010 follows the normal trends shown in row (21)</t>
  </si>
  <si>
    <t>Row (28) shows the actual GRT for each month during FY 2010.  Row (31) shows the projected annual deficit or surplus for FY 2010 based on the actual GRT received in row (18)</t>
  </si>
  <si>
    <t xml:space="preserve">and the normal trend shown in row (21).  The projections shown in row (31) are cumulative for the fiscal year.  These projections should not be considered reliable until </t>
  </si>
  <si>
    <t>FY 2011</t>
  </si>
  <si>
    <t>FY 2012</t>
  </si>
  <si>
    <t>what percentage of the annual total each month is for the FY 93-11 period.  February receipts are 9.07% of the annual GRT and it is the highest single month.  March and Jan.</t>
  </si>
  <si>
    <t>FY 2013</t>
  </si>
  <si>
    <t>FY 2014</t>
  </si>
  <si>
    <t>July</t>
  </si>
  <si>
    <t>Sept</t>
  </si>
  <si>
    <t>Aug</t>
  </si>
  <si>
    <t>Oct</t>
  </si>
  <si>
    <t>Nov</t>
  </si>
  <si>
    <t>Dec</t>
  </si>
  <si>
    <t>Jan</t>
  </si>
  <si>
    <t>Feb</t>
  </si>
  <si>
    <t>March</t>
  </si>
  <si>
    <t>April</t>
  </si>
  <si>
    <t>May</t>
  </si>
  <si>
    <t>June</t>
  </si>
  <si>
    <t>FY 2015</t>
  </si>
  <si>
    <t>`</t>
  </si>
  <si>
    <t>2015 (proj)</t>
  </si>
  <si>
    <t>FY 2016</t>
  </si>
  <si>
    <t>FY 93-15</t>
  </si>
  <si>
    <t>Revised.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</si>
</sst>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43" formatCode="_(* #,##0.00_);_(* \(#,##0.00\);_(* &quot;-&quot;??_);_(@_)"/>
    <numFmt numFmtId="170" formatCode="_(&quot;$&quot;* #,##0.000000_);_(&quot;$&quot;* \(#,##0.000000\);_(&quot;$&quot;* &quot;-&quot;??????_);_(@_)"/>
  </numFmts>
  <fonts count="6" x14ac:knownFonts="1">
    <font>
      <sz val="10"/>
      <name val="Arial"/>
    </font>
    <font>
      <sz val="10"/>
      <name val="Arial"/>
    </font>
    <font>
      <b/>
      <sz val="10"/>
      <name val="Arial"/>
      <family val="2"/>
    </font>
    <font>
      <sz val="8"/>
      <name val="Arial"/>
      <family val="2"/>
    </font>
    <font>
      <sz val="10"/>
      <name val="Arial"/>
      <family val="2"/>
    </font>
    <font>
      <b/>
      <sz val="11"/>
      <name val="Arial"/>
      <family val="2"/>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42" fontId="0" fillId="0" borderId="0" xfId="0" applyNumberFormat="1"/>
    <xf numFmtId="42" fontId="0" fillId="0" borderId="1" xfId="0" applyNumberFormat="1" applyBorder="1"/>
    <xf numFmtId="42" fontId="2" fillId="0" borderId="0" xfId="0" applyNumberFormat="1" applyFont="1" applyAlignment="1">
      <alignment horizontal="center"/>
    </xf>
    <xf numFmtId="42" fontId="3" fillId="0" borderId="0" xfId="0" applyNumberFormat="1" applyFont="1"/>
    <xf numFmtId="10" fontId="1" fillId="0" borderId="1" xfId="2" applyNumberFormat="1" applyBorder="1"/>
    <xf numFmtId="10" fontId="0" fillId="0" borderId="0" xfId="0" applyNumberFormat="1"/>
    <xf numFmtId="37" fontId="0" fillId="0" borderId="0" xfId="0" applyNumberFormat="1"/>
    <xf numFmtId="42" fontId="2" fillId="0" borderId="0" xfId="0" applyNumberFormat="1" applyFont="1"/>
    <xf numFmtId="49" fontId="0" fillId="0" borderId="0" xfId="0" applyNumberFormat="1"/>
    <xf numFmtId="9" fontId="0" fillId="0" borderId="1" xfId="0" applyNumberFormat="1" applyBorder="1"/>
    <xf numFmtId="0" fontId="0" fillId="0" borderId="0" xfId="0" applyNumberFormat="1"/>
    <xf numFmtId="9" fontId="0" fillId="0" borderId="0" xfId="0" applyNumberFormat="1"/>
    <xf numFmtId="42" fontId="4" fillId="0" borderId="1" xfId="0" applyNumberFormat="1" applyFont="1" applyBorder="1"/>
    <xf numFmtId="42" fontId="4" fillId="2" borderId="1" xfId="0" applyNumberFormat="1" applyFont="1" applyFill="1" applyBorder="1"/>
    <xf numFmtId="42" fontId="2" fillId="2" borderId="1" xfId="0" applyNumberFormat="1" applyFont="1" applyFill="1" applyBorder="1"/>
    <xf numFmtId="42" fontId="2" fillId="0" borderId="1" xfId="0" applyNumberFormat="1" applyFont="1" applyBorder="1"/>
    <xf numFmtId="42" fontId="5" fillId="0" borderId="1" xfId="0" applyNumberFormat="1" applyFont="1" applyBorder="1"/>
    <xf numFmtId="37" fontId="2" fillId="0" borderId="0" xfId="0" applyNumberFormat="1" applyFont="1"/>
    <xf numFmtId="49" fontId="2" fillId="0" borderId="0" xfId="0" applyNumberFormat="1" applyFont="1" applyProtection="1">
      <protection hidden="1"/>
    </xf>
    <xf numFmtId="16" fontId="2" fillId="0" borderId="0" xfId="0" applyNumberFormat="1" applyFont="1" applyAlignment="1">
      <alignment horizontal="center"/>
    </xf>
    <xf numFmtId="42" fontId="2" fillId="0" borderId="0" xfId="0" quotePrefix="1" applyNumberFormat="1" applyFont="1" applyAlignment="1">
      <alignment horizontal="center"/>
    </xf>
    <xf numFmtId="170" fontId="0" fillId="0" borderId="0" xfId="0" applyNumberFormat="1"/>
    <xf numFmtId="170" fontId="2" fillId="0" borderId="0" xfId="0" applyNumberFormat="1" applyFont="1"/>
    <xf numFmtId="170" fontId="0" fillId="0" borderId="0" xfId="2" applyNumberFormat="1" applyFont="1"/>
    <xf numFmtId="42" fontId="4" fillId="0" borderId="0" xfId="0" applyNumberFormat="1" applyFont="1"/>
    <xf numFmtId="0" fontId="0" fillId="0" borderId="0" xfId="0" applyNumberFormat="1" applyAlignment="1">
      <alignment horizontal="right"/>
    </xf>
    <xf numFmtId="42" fontId="2" fillId="0" borderId="1" xfId="0" applyNumberFormat="1" applyFont="1" applyFill="1" applyBorder="1"/>
    <xf numFmtId="44" fontId="0" fillId="0" borderId="0" xfId="0" applyNumberFormat="1"/>
    <xf numFmtId="43" fontId="0" fillId="0" borderId="0" xfId="1" applyFont="1"/>
    <xf numFmtId="43" fontId="2" fillId="0" borderId="0" xfId="1" applyFont="1"/>
    <xf numFmtId="43" fontId="4" fillId="0" borderId="0" xfId="1" applyFont="1"/>
    <xf numFmtId="42" fontId="2" fillId="3" borderId="1" xfId="0" applyNumberFormat="1" applyFont="1" applyFill="1" applyBorder="1"/>
    <xf numFmtId="10" fontId="0" fillId="0" borderId="1" xfId="0" applyNumberFormat="1" applyBorder="1"/>
    <xf numFmtId="10" fontId="0" fillId="0" borderId="0" xfId="1" applyNumberFormat="1" applyFont="1"/>
    <xf numFmtId="37" fontId="2" fillId="0" borderId="0" xfId="0" applyNumberFormat="1" applyFont="1" applyFill="1"/>
    <xf numFmtId="43" fontId="2" fillId="0" borderId="0" xfId="1" applyFont="1" applyFill="1"/>
    <xf numFmtId="170" fontId="2" fillId="0" borderId="0" xfId="0" applyNumberFormat="1" applyFont="1" applyFill="1"/>
    <xf numFmtId="42" fontId="2" fillId="0" borderId="0" xfId="0" applyNumberFormat="1" applyFont="1" applyFill="1"/>
    <xf numFmtId="10" fontId="2" fillId="0" borderId="0" xfId="0" applyNumberFormat="1" applyFont="1" applyFill="1"/>
    <xf numFmtId="42" fontId="4" fillId="3" borderId="1" xfId="0" applyNumberFormat="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CITY OF HOBBS</a:t>
            </a:r>
          </a:p>
          <a:p>
            <a:pPr>
              <a:defRPr sz="1000" b="0" i="0" u="none" strike="noStrike" baseline="0">
                <a:solidFill>
                  <a:srgbClr val="000000"/>
                </a:solidFill>
                <a:latin typeface="Arial"/>
                <a:ea typeface="Arial"/>
                <a:cs typeface="Arial"/>
              </a:defRPr>
            </a:pPr>
            <a:endParaRPr lang="en-US" sz="12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 GENERAL FUND GRT </a:t>
            </a:r>
          </a:p>
        </c:rich>
      </c:tx>
      <c:layout>
        <c:manualLayout>
          <c:xMode val="edge"/>
          <c:yMode val="edge"/>
          <c:x val="0.41005727875175829"/>
          <c:y val="3.3945685360758475E-2"/>
        </c:manualLayout>
      </c:layout>
      <c:overlay val="0"/>
      <c:spPr>
        <a:noFill/>
        <a:ln w="25400">
          <a:noFill/>
        </a:ln>
      </c:spPr>
    </c:title>
    <c:autoTitleDeleted val="0"/>
    <c:view3D>
      <c:rotX val="14"/>
      <c:hPercent val="50"/>
      <c:rotY val="26"/>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7311608961303462"/>
          <c:y val="0.19666730685972286"/>
          <c:w val="0.75560081466395113"/>
          <c:h val="0.55333513455447447"/>
        </c:manualLayout>
      </c:layout>
      <c:bar3DChart>
        <c:barDir val="col"/>
        <c:grouping val="clustered"/>
        <c:varyColors val="0"/>
        <c:ser>
          <c:idx val="0"/>
          <c:order val="0"/>
          <c:spPr>
            <a:solidFill>
              <a:srgbClr val="FFFFFF"/>
            </a:solidFill>
            <a:ln w="12700">
              <a:solidFill>
                <a:srgbClr val="000000"/>
              </a:solidFill>
              <a:prstDash val="solid"/>
            </a:ln>
          </c:spPr>
          <c:invertIfNegative val="0"/>
          <c:cat>
            <c:strRef>
              <c:f>'Historical GRT'!$A$7:$A$29</c:f>
              <c:strCache>
                <c:ptCount val="23"/>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 (proj)</c:v>
                </c:pt>
              </c:strCache>
            </c:strRef>
          </c:cat>
          <c:val>
            <c:numRef>
              <c:f>'Historical GRT'!$B$7:$B$29</c:f>
              <c:numCache>
                <c:formatCode>_("$"* #,##0_);_("$"* \(#,##0\);_("$"* "-"_);_(@_)</c:formatCode>
                <c:ptCount val="23"/>
                <c:pt idx="0">
                  <c:v>12921369</c:v>
                </c:pt>
                <c:pt idx="1">
                  <c:v>14283507</c:v>
                </c:pt>
                <c:pt idx="2">
                  <c:v>13696299</c:v>
                </c:pt>
                <c:pt idx="3">
                  <c:v>15044957</c:v>
                </c:pt>
                <c:pt idx="4">
                  <c:v>16188431</c:v>
                </c:pt>
                <c:pt idx="5">
                  <c:v>17355281</c:v>
                </c:pt>
                <c:pt idx="6">
                  <c:v>15710669</c:v>
                </c:pt>
                <c:pt idx="7">
                  <c:v>15306944</c:v>
                </c:pt>
                <c:pt idx="8">
                  <c:v>18464849</c:v>
                </c:pt>
                <c:pt idx="9">
                  <c:v>19905159</c:v>
                </c:pt>
                <c:pt idx="10">
                  <c:v>19000551</c:v>
                </c:pt>
                <c:pt idx="11">
                  <c:v>21276720.72608</c:v>
                </c:pt>
                <c:pt idx="12">
                  <c:v>24807520.070143998</c:v>
                </c:pt>
                <c:pt idx="13">
                  <c:v>31367768.500767998</c:v>
                </c:pt>
                <c:pt idx="14">
                  <c:v>36612132.408992</c:v>
                </c:pt>
                <c:pt idx="15">
                  <c:v>40358387.166496001</c:v>
                </c:pt>
                <c:pt idx="16">
                  <c:v>42688402.496544003</c:v>
                </c:pt>
                <c:pt idx="17">
                  <c:v>33380270.668079995</c:v>
                </c:pt>
                <c:pt idx="18">
                  <c:v>45507711.856991991</c:v>
                </c:pt>
                <c:pt idx="19">
                  <c:v>60618813.724896006</c:v>
                </c:pt>
                <c:pt idx="20">
                  <c:v>65310148.757951997</c:v>
                </c:pt>
                <c:pt idx="21">
                  <c:v>72600731.592815995</c:v>
                </c:pt>
                <c:pt idx="22">
                  <c:v>3342359.6022720039</c:v>
                </c:pt>
              </c:numCache>
            </c:numRef>
          </c:val>
        </c:ser>
        <c:dLbls>
          <c:showLegendKey val="0"/>
          <c:showVal val="0"/>
          <c:showCatName val="0"/>
          <c:showSerName val="0"/>
          <c:showPercent val="0"/>
          <c:showBubbleSize val="0"/>
        </c:dLbls>
        <c:gapWidth val="150"/>
        <c:shape val="box"/>
        <c:axId val="100179968"/>
        <c:axId val="100181888"/>
        <c:axId val="0"/>
      </c:bar3DChart>
      <c:catAx>
        <c:axId val="100179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Fiscal Years</a:t>
                </a:r>
              </a:p>
            </c:rich>
          </c:tx>
          <c:layout>
            <c:manualLayout>
              <c:xMode val="edge"/>
              <c:yMode val="edge"/>
              <c:x val="0.47046846768463335"/>
              <c:y val="0.8733361186994481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00181888"/>
        <c:crosses val="autoZero"/>
        <c:auto val="1"/>
        <c:lblAlgn val="ctr"/>
        <c:lblOffset val="100"/>
        <c:tickLblSkip val="1"/>
        <c:tickMarkSkip val="1"/>
        <c:noMultiLvlLbl val="0"/>
      </c:catAx>
      <c:valAx>
        <c:axId val="100181888"/>
        <c:scaling>
          <c:orientation val="minMax"/>
        </c:scaling>
        <c:delete val="0"/>
        <c:axPos val="l"/>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0179968"/>
        <c:crosses val="autoZero"/>
        <c:crossBetween val="between"/>
        <c:majorUnit val="40000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450" b="1" i="0" u="none" strike="noStrike" baseline="0">
                <a:solidFill>
                  <a:srgbClr val="000000"/>
                </a:solidFill>
                <a:latin typeface="Arial"/>
                <a:cs typeface="Arial"/>
              </a:rPr>
              <a:t>7 Year Trend in Gross Receipts Tax Revenues</a:t>
            </a:r>
          </a:p>
          <a:p>
            <a:pPr>
              <a:defRPr sz="120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(2016 Actual)</a:t>
            </a:r>
          </a:p>
        </c:rich>
      </c:tx>
      <c:layout>
        <c:manualLayout>
          <c:xMode val="edge"/>
          <c:yMode val="edge"/>
          <c:x val="0.15131594789183461"/>
          <c:y val="3.7617434184363314E-2"/>
        </c:manualLayout>
      </c:layout>
      <c:overlay val="0"/>
      <c:spPr>
        <a:noFill/>
        <a:ln w="25400">
          <a:noFill/>
        </a:ln>
      </c:spPr>
    </c:title>
    <c:autoTitleDeleted val="0"/>
    <c:plotArea>
      <c:layout>
        <c:manualLayout>
          <c:layoutTarget val="inner"/>
          <c:xMode val="edge"/>
          <c:yMode val="edge"/>
          <c:x val="0.20857328613739795"/>
          <c:y val="0.29035202417879585"/>
          <c:w val="0.76315789473684215"/>
          <c:h val="0.61755580420351108"/>
        </c:manualLayout>
      </c:layout>
      <c:lineChart>
        <c:grouping val="stacked"/>
        <c:varyColors val="0"/>
        <c:ser>
          <c:idx val="0"/>
          <c:order val="0"/>
          <c:spPr>
            <a:ln w="12700">
              <a:solidFill>
                <a:srgbClr val="000080"/>
              </a:solidFill>
              <a:prstDash val="solid"/>
            </a:ln>
          </c:spPr>
          <c:marker>
            <c:symbol val="x"/>
            <c:size val="5"/>
            <c:spPr>
              <a:solidFill>
                <a:srgbClr val="000080"/>
              </a:solidFill>
              <a:ln>
                <a:solidFill>
                  <a:srgbClr val="000080"/>
                </a:solidFill>
                <a:prstDash val="solid"/>
              </a:ln>
            </c:spPr>
          </c:marker>
          <c:dPt>
            <c:idx val="0"/>
            <c:marker>
              <c:symbol val="x"/>
              <c:size val="8"/>
            </c:marker>
            <c:bubble3D val="0"/>
            <c:spPr>
              <a:ln w="12700">
                <a:solidFill>
                  <a:srgbClr val="000080"/>
                </a:solidFill>
                <a:prstDash val="solid"/>
              </a:ln>
            </c:spPr>
          </c:dPt>
          <c:dPt>
            <c:idx val="9"/>
            <c:marker>
              <c:symbol val="x"/>
              <c:size val="8"/>
            </c:marker>
            <c:bubble3D val="0"/>
            <c:spPr>
              <a:ln w="12700">
                <a:solidFill>
                  <a:srgbClr val="000080"/>
                </a:solidFill>
                <a:prstDash val="solid"/>
              </a:ln>
            </c:spPr>
          </c:dPt>
          <c:dLbls>
            <c:dLbl>
              <c:idx val="0"/>
              <c:layout/>
              <c:spPr/>
              <c:txPr>
                <a:bodyPr/>
                <a:lstStyle/>
                <a:p>
                  <a:pPr>
                    <a:defRPr sz="11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dLbl>
            <c:dLbl>
              <c:idx val="4"/>
              <c:layout>
                <c:manualLayout>
                  <c:x val="3.7930946705056361E-2"/>
                  <c:y val="-0.156862801240754"/>
                </c:manualLayout>
              </c:layout>
              <c:tx>
                <c:rich>
                  <a:bodyPr/>
                  <a:lstStyle/>
                  <a:p>
                    <a:pPr>
                      <a:defRPr sz="1100" b="1" i="0" u="none" strike="noStrike" baseline="0">
                        <a:solidFill>
                          <a:srgbClr val="000000"/>
                        </a:solidFill>
                        <a:latin typeface="Arial"/>
                        <a:ea typeface="Arial"/>
                        <a:cs typeface="Arial"/>
                      </a:defRPr>
                    </a:pPr>
                    <a:r>
                      <a:rPr lang="en-US"/>
                      <a:t> $85,762,846 </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GRT!$B$29:$B$35</c:f>
              <c:strCache>
                <c:ptCount val="7"/>
                <c:pt idx="0">
                  <c:v>FY 2010</c:v>
                </c:pt>
                <c:pt idx="1">
                  <c:v>FY 2011</c:v>
                </c:pt>
                <c:pt idx="2">
                  <c:v>FY 2012</c:v>
                </c:pt>
                <c:pt idx="3">
                  <c:v>FY 2013</c:v>
                </c:pt>
                <c:pt idx="4">
                  <c:v>FY 2014</c:v>
                </c:pt>
                <c:pt idx="5">
                  <c:v>FY 2015</c:v>
                </c:pt>
                <c:pt idx="6">
                  <c:v>FY 2016</c:v>
                </c:pt>
              </c:strCache>
            </c:strRef>
          </c:cat>
          <c:val>
            <c:numRef>
              <c:f>GRT!$O$29:$O$35</c:f>
              <c:numCache>
                <c:formatCode>_("$"* #,##0_);_("$"* \(#,##0\);_("$"* "-"_);_(@_)</c:formatCode>
                <c:ptCount val="7"/>
                <c:pt idx="0">
                  <c:v>33380270.668079995</c:v>
                </c:pt>
                <c:pt idx="1">
                  <c:v>45507711.856991991</c:v>
                </c:pt>
                <c:pt idx="2">
                  <c:v>60618813.724896006</c:v>
                </c:pt>
                <c:pt idx="3">
                  <c:v>65310148.757951997</c:v>
                </c:pt>
                <c:pt idx="4">
                  <c:v>72600731.592815995</c:v>
                </c:pt>
                <c:pt idx="5">
                  <c:v>85762845.637056008</c:v>
                </c:pt>
                <c:pt idx="6">
                  <c:v>53169122.602272004</c:v>
                </c:pt>
              </c:numCache>
            </c:numRef>
          </c:val>
          <c:smooth val="0"/>
        </c:ser>
        <c:ser>
          <c:idx val="1"/>
          <c:order val="1"/>
          <c:tx>
            <c:strRef>
              <c:f>GRT!$B$29:$B$33</c:f>
              <c:strCache>
                <c:ptCount val="1"/>
                <c:pt idx="0">
                  <c:v>FY 2010 FY 2011 FY 2012 FY 2013 FY 2014</c:v>
                </c:pt>
              </c:strCache>
            </c:strRef>
          </c:tx>
          <c:cat>
            <c:strRef>
              <c:f>GRT!$B$29:$B$35</c:f>
              <c:strCache>
                <c:ptCount val="7"/>
                <c:pt idx="0">
                  <c:v>FY 2010</c:v>
                </c:pt>
                <c:pt idx="1">
                  <c:v>FY 2011</c:v>
                </c:pt>
                <c:pt idx="2">
                  <c:v>FY 2012</c:v>
                </c:pt>
                <c:pt idx="3">
                  <c:v>FY 2013</c:v>
                </c:pt>
                <c:pt idx="4">
                  <c:v>FY 2014</c:v>
                </c:pt>
                <c:pt idx="5">
                  <c:v>FY 2015</c:v>
                </c:pt>
                <c:pt idx="6">
                  <c:v>FY 2016</c:v>
                </c:pt>
              </c:strCache>
            </c:strRef>
          </c:cat>
          <c:val>
            <c:numLit>
              <c:formatCode>General</c:formatCode>
              <c:ptCount val="1"/>
              <c:pt idx="0">
                <c:v>1</c:v>
              </c:pt>
            </c:numLit>
          </c:val>
          <c:smooth val="0"/>
        </c:ser>
        <c:dLbls>
          <c:showLegendKey val="0"/>
          <c:showVal val="0"/>
          <c:showCatName val="0"/>
          <c:showSerName val="0"/>
          <c:showPercent val="0"/>
          <c:showBubbleSize val="0"/>
        </c:dLbls>
        <c:marker val="1"/>
        <c:smooth val="0"/>
        <c:axId val="80995456"/>
        <c:axId val="80997376"/>
      </c:lineChart>
      <c:catAx>
        <c:axId val="80995456"/>
        <c:scaling>
          <c:orientation val="minMax"/>
        </c:scaling>
        <c:delete val="0"/>
        <c:axPos val="b"/>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0997376"/>
        <c:crosses val="autoZero"/>
        <c:auto val="1"/>
        <c:lblAlgn val="ctr"/>
        <c:lblOffset val="100"/>
        <c:tickLblSkip val="1"/>
        <c:tickMarkSkip val="1"/>
        <c:noMultiLvlLbl val="0"/>
      </c:catAx>
      <c:valAx>
        <c:axId val="80997376"/>
        <c:scaling>
          <c:orientation val="minMax"/>
        </c:scaling>
        <c:delete val="0"/>
        <c:axPos val="l"/>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09954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450" b="1" i="0" u="none" strike="noStrike" baseline="0">
                <a:solidFill>
                  <a:srgbClr val="000000"/>
                </a:solidFill>
                <a:latin typeface="Arial"/>
                <a:cs typeface="Arial"/>
              </a:rPr>
              <a:t>7 Year Trend of Gross Receipts Tax Revenues</a:t>
            </a:r>
          </a:p>
          <a:p>
            <a:pPr>
              <a:defRPr sz="1200" b="0" i="0" u="none" strike="noStrike" baseline="0">
                <a:solidFill>
                  <a:srgbClr val="000000"/>
                </a:solidFill>
                <a:latin typeface="Arial"/>
                <a:ea typeface="Arial"/>
                <a:cs typeface="Arial"/>
              </a:defRPr>
            </a:pPr>
            <a:r>
              <a:rPr lang="en-US" sz="1450" b="1" i="0" u="none" strike="noStrike" baseline="0">
                <a:solidFill>
                  <a:srgbClr val="000000"/>
                </a:solidFill>
                <a:latin typeface="Arial"/>
                <a:cs typeface="Arial"/>
              </a:rPr>
              <a:t>by Month</a:t>
            </a:r>
          </a:p>
          <a:p>
            <a:pPr>
              <a:defRPr sz="1200" b="0" i="0" u="none" strike="noStrike" baseline="0">
                <a:solidFill>
                  <a:srgbClr val="000000"/>
                </a:solidFill>
                <a:latin typeface="Arial"/>
                <a:ea typeface="Arial"/>
                <a:cs typeface="Arial"/>
              </a:defRPr>
            </a:pPr>
            <a:endParaRPr lang="en-US" sz="1450" b="1" i="0" u="none" strike="noStrike" baseline="0">
              <a:solidFill>
                <a:srgbClr val="000000"/>
              </a:solidFill>
              <a:latin typeface="Arial"/>
              <a:cs typeface="Arial"/>
            </a:endParaRPr>
          </a:p>
        </c:rich>
      </c:tx>
      <c:layout>
        <c:manualLayout>
          <c:xMode val="edge"/>
          <c:yMode val="edge"/>
          <c:x val="0.22408520035912943"/>
          <c:y val="1.2050808463756845E-3"/>
        </c:manualLayout>
      </c:layout>
      <c:overlay val="0"/>
      <c:spPr>
        <a:noFill/>
        <a:ln w="25400">
          <a:noFill/>
        </a:ln>
      </c:spPr>
    </c:title>
    <c:autoTitleDeleted val="0"/>
    <c:plotArea>
      <c:layout>
        <c:manualLayout>
          <c:layoutTarget val="inner"/>
          <c:xMode val="edge"/>
          <c:yMode val="edge"/>
          <c:x val="0.23653309391371954"/>
          <c:y val="0.24216648844820324"/>
          <c:w val="0.76315789473684215"/>
          <c:h val="0.61755580420351108"/>
        </c:manualLayout>
      </c:layout>
      <c:lineChart>
        <c:grouping val="standard"/>
        <c:varyColors val="0"/>
        <c:ser>
          <c:idx val="0"/>
          <c:order val="0"/>
          <c:tx>
            <c:strRef>
              <c:f>GRT!$B$29</c:f>
              <c:strCache>
                <c:ptCount val="1"/>
                <c:pt idx="0">
                  <c:v>FY 2010</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GRT!$C$29:$N$29</c:f>
              <c:numCache>
                <c:formatCode>_("$"* #,##0_);_("$"* \(#,##0\);_("$"* "-"_);_(@_)</c:formatCode>
                <c:ptCount val="12"/>
                <c:pt idx="0">
                  <c:v>2451198.5624000002</c:v>
                </c:pt>
                <c:pt idx="1">
                  <c:v>2617250.5097759999</c:v>
                </c:pt>
                <c:pt idx="2">
                  <c:v>2599970.6494719996</c:v>
                </c:pt>
                <c:pt idx="3">
                  <c:v>2524216.3183999998</c:v>
                </c:pt>
                <c:pt idx="4">
                  <c:v>2519766.360384</c:v>
                </c:pt>
                <c:pt idx="5">
                  <c:v>2569347.738384</c:v>
                </c:pt>
                <c:pt idx="6">
                  <c:v>2809349.542384</c:v>
                </c:pt>
                <c:pt idx="7">
                  <c:v>3066473.0724319997</c:v>
                </c:pt>
                <c:pt idx="8">
                  <c:v>2817258.1050879997</c:v>
                </c:pt>
                <c:pt idx="9">
                  <c:v>2822732.993584</c:v>
                </c:pt>
                <c:pt idx="10">
                  <c:v>3276793.9290239997</c:v>
                </c:pt>
                <c:pt idx="11">
                  <c:v>3305912.8867520001</c:v>
                </c:pt>
              </c:numCache>
            </c:numRef>
          </c:val>
          <c:smooth val="0"/>
        </c:ser>
        <c:ser>
          <c:idx val="1"/>
          <c:order val="1"/>
          <c:tx>
            <c:strRef>
              <c:f>GRT!$B$30</c:f>
              <c:strCache>
                <c:ptCount val="1"/>
                <c:pt idx="0">
                  <c:v>FY 2011</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GRT!$C$30:$N$30</c:f>
              <c:numCache>
                <c:formatCode>_("$"* #,##0_);_("$"* \(#,##0\);_("$"* "-"_);_(@_)</c:formatCode>
                <c:ptCount val="12"/>
                <c:pt idx="0">
                  <c:v>3177096.8110559997</c:v>
                </c:pt>
                <c:pt idx="1">
                  <c:v>3580294.403616</c:v>
                </c:pt>
                <c:pt idx="2">
                  <c:v>3335454.8775519999</c:v>
                </c:pt>
                <c:pt idx="3">
                  <c:v>3808790.3067200002</c:v>
                </c:pt>
                <c:pt idx="4">
                  <c:v>3701475.2747840001</c:v>
                </c:pt>
                <c:pt idx="5">
                  <c:v>3538887.4725120002</c:v>
                </c:pt>
                <c:pt idx="6">
                  <c:v>3790904.2356639998</c:v>
                </c:pt>
                <c:pt idx="7">
                  <c:v>4044932.7368799997</c:v>
                </c:pt>
                <c:pt idx="8">
                  <c:v>4057583.1984799998</c:v>
                </c:pt>
                <c:pt idx="9">
                  <c:v>3543249.9086879999</c:v>
                </c:pt>
                <c:pt idx="10">
                  <c:v>4537393.6820799997</c:v>
                </c:pt>
                <c:pt idx="11">
                  <c:v>4391648.9489599997</c:v>
                </c:pt>
              </c:numCache>
            </c:numRef>
          </c:val>
          <c:smooth val="0"/>
        </c:ser>
        <c:ser>
          <c:idx val="2"/>
          <c:order val="2"/>
          <c:tx>
            <c:strRef>
              <c:f>GRT!$B$31</c:f>
              <c:strCache>
                <c:ptCount val="1"/>
                <c:pt idx="0">
                  <c:v>FY 2012</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GRT!$C$31:$N$31</c:f>
              <c:numCache>
                <c:formatCode>_("$"* #,##0_);_("$"* \(#,##0\);_("$"* "-"_);_(@_)</c:formatCode>
                <c:ptCount val="12"/>
                <c:pt idx="0">
                  <c:v>4654839.7829919998</c:v>
                </c:pt>
                <c:pt idx="1">
                  <c:v>5017083.6151520004</c:v>
                </c:pt>
                <c:pt idx="2">
                  <c:v>4685581.4969599992</c:v>
                </c:pt>
                <c:pt idx="3">
                  <c:v>4941725.4796000002</c:v>
                </c:pt>
                <c:pt idx="4">
                  <c:v>5217449.9988799999</c:v>
                </c:pt>
                <c:pt idx="5">
                  <c:v>5019105.3092320003</c:v>
                </c:pt>
                <c:pt idx="6">
                  <c:v>5341376.2670240002</c:v>
                </c:pt>
                <c:pt idx="7">
                  <c:v>5265845.6070079999</c:v>
                </c:pt>
                <c:pt idx="8">
                  <c:v>4943765.5053919991</c:v>
                </c:pt>
                <c:pt idx="9">
                  <c:v>4965041.7904639998</c:v>
                </c:pt>
                <c:pt idx="10">
                  <c:v>5863580.9634079998</c:v>
                </c:pt>
                <c:pt idx="11">
                  <c:v>4703417.9087840002</c:v>
                </c:pt>
              </c:numCache>
            </c:numRef>
          </c:val>
          <c:smooth val="0"/>
        </c:ser>
        <c:ser>
          <c:idx val="3"/>
          <c:order val="3"/>
          <c:tx>
            <c:strRef>
              <c:f>GRT!$B$32</c:f>
              <c:strCache>
                <c:ptCount val="1"/>
                <c:pt idx="0">
                  <c:v>FY 2013</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GRT!$C$32:$N$32</c:f>
              <c:numCache>
                <c:formatCode>_("$"* #,##0_);_("$"* \(#,##0\);_("$"* "-"_);_(@_)</c:formatCode>
                <c:ptCount val="12"/>
                <c:pt idx="0">
                  <c:v>5626059.8806720003</c:v>
                </c:pt>
                <c:pt idx="1">
                  <c:v>4164832.9353119996</c:v>
                </c:pt>
                <c:pt idx="2">
                  <c:v>5572700.4595360002</c:v>
                </c:pt>
                <c:pt idx="3">
                  <c:v>6132021.7692160001</c:v>
                </c:pt>
                <c:pt idx="4">
                  <c:v>5801761.568736</c:v>
                </c:pt>
                <c:pt idx="5">
                  <c:v>5905149.1615199996</c:v>
                </c:pt>
                <c:pt idx="6">
                  <c:v>5571555.1737439996</c:v>
                </c:pt>
                <c:pt idx="7">
                  <c:v>5442808.037184</c:v>
                </c:pt>
                <c:pt idx="8">
                  <c:v>4651484.8194080004</c:v>
                </c:pt>
                <c:pt idx="9">
                  <c:v>5308133.5386240007</c:v>
                </c:pt>
                <c:pt idx="10">
                  <c:v>5644373.8559039999</c:v>
                </c:pt>
                <c:pt idx="11">
                  <c:v>5489267.558096</c:v>
                </c:pt>
              </c:numCache>
            </c:numRef>
          </c:val>
          <c:smooth val="0"/>
        </c:ser>
        <c:ser>
          <c:idx val="4"/>
          <c:order val="4"/>
          <c:tx>
            <c:strRef>
              <c:f>GRT!$B$33</c:f>
              <c:strCache>
                <c:ptCount val="1"/>
                <c:pt idx="0">
                  <c:v>FY 2014</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GRT!$C$33:$N$33</c:f>
              <c:numCache>
                <c:formatCode>_("$"* #,##0_);_("$"* \(#,##0\);_("$"* "-"_);_(@_)</c:formatCode>
                <c:ptCount val="12"/>
                <c:pt idx="0">
                  <c:v>5595087.2912480002</c:v>
                </c:pt>
                <c:pt idx="1">
                  <c:v>6411179.8311679997</c:v>
                </c:pt>
                <c:pt idx="2">
                  <c:v>5917200.8398719998</c:v>
                </c:pt>
                <c:pt idx="3">
                  <c:v>6582811.646768</c:v>
                </c:pt>
                <c:pt idx="4">
                  <c:v>5592692.7067200001</c:v>
                </c:pt>
                <c:pt idx="5">
                  <c:v>6172595.8344959999</c:v>
                </c:pt>
                <c:pt idx="6">
                  <c:v>5709226.8793279994</c:v>
                </c:pt>
                <c:pt idx="7">
                  <c:v>6164336.7289279997</c:v>
                </c:pt>
                <c:pt idx="8">
                  <c:v>6554074.80112</c:v>
                </c:pt>
                <c:pt idx="9">
                  <c:v>5722893.152032</c:v>
                </c:pt>
                <c:pt idx="10">
                  <c:v>6864060.2396799996</c:v>
                </c:pt>
                <c:pt idx="11">
                  <c:v>5314571.6414560005</c:v>
                </c:pt>
              </c:numCache>
            </c:numRef>
          </c:val>
          <c:smooth val="0"/>
        </c:ser>
        <c:ser>
          <c:idx val="5"/>
          <c:order val="5"/>
          <c:tx>
            <c:strRef>
              <c:f>GRT!$B$34</c:f>
              <c:strCache>
                <c:ptCount val="1"/>
                <c:pt idx="0">
                  <c:v>FY 2015</c:v>
                </c:pt>
              </c:strCache>
            </c:strRef>
          </c:tx>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GRT!$C$34:$N$34</c:f>
              <c:numCache>
                <c:formatCode>_("$"* #,##0_);_("$"* \(#,##0\);_("$"* "-"_);_(@_)</c:formatCode>
                <c:ptCount val="12"/>
                <c:pt idx="0">
                  <c:v>6402668.2834240003</c:v>
                </c:pt>
                <c:pt idx="1">
                  <c:v>6831952.2089279993</c:v>
                </c:pt>
                <c:pt idx="2">
                  <c:v>7322430.7728319997</c:v>
                </c:pt>
                <c:pt idx="3">
                  <c:v>7267058.5817759996</c:v>
                </c:pt>
                <c:pt idx="4">
                  <c:v>7157385.4335200004</c:v>
                </c:pt>
                <c:pt idx="5">
                  <c:v>8099740.5680800006</c:v>
                </c:pt>
                <c:pt idx="6">
                  <c:v>6747067.8114560004</c:v>
                </c:pt>
                <c:pt idx="7">
                  <c:v>9256621.6141279992</c:v>
                </c:pt>
                <c:pt idx="8">
                  <c:v>7424667.3999680001</c:v>
                </c:pt>
                <c:pt idx="9">
                  <c:v>6344409.2846400002</c:v>
                </c:pt>
                <c:pt idx="10">
                  <c:v>6832493.9147359999</c:v>
                </c:pt>
                <c:pt idx="11">
                  <c:v>6076349.7635679999</c:v>
                </c:pt>
              </c:numCache>
            </c:numRef>
          </c:val>
          <c:smooth val="0"/>
        </c:ser>
        <c:ser>
          <c:idx val="6"/>
          <c:order val="6"/>
          <c:tx>
            <c:strRef>
              <c:f>GRT!$B$35</c:f>
              <c:strCache>
                <c:ptCount val="1"/>
                <c:pt idx="0">
                  <c:v>FY 2016</c:v>
                </c:pt>
              </c:strCache>
            </c:strRef>
          </c:tx>
          <c:spPr>
            <a:ln w="50800">
              <a:solidFill>
                <a:srgbClr val="FF0000"/>
              </a:solidFill>
            </a:ln>
          </c:spPr>
          <c:marker>
            <c:symbol val="none"/>
          </c:marker>
          <c:cat>
            <c:strRef>
              <c:f>GRT!$C$10:$N$10</c:f>
              <c:strCache>
                <c:ptCount val="12"/>
                <c:pt idx="0">
                  <c:v>July</c:v>
                </c:pt>
                <c:pt idx="1">
                  <c:v>Aug</c:v>
                </c:pt>
                <c:pt idx="2">
                  <c:v>Sept</c:v>
                </c:pt>
                <c:pt idx="3">
                  <c:v>Oct</c:v>
                </c:pt>
                <c:pt idx="4">
                  <c:v>Nov</c:v>
                </c:pt>
                <c:pt idx="5">
                  <c:v>Dec</c:v>
                </c:pt>
                <c:pt idx="6">
                  <c:v>Jan</c:v>
                </c:pt>
                <c:pt idx="7">
                  <c:v>Feb</c:v>
                </c:pt>
                <c:pt idx="8">
                  <c:v>March</c:v>
                </c:pt>
                <c:pt idx="9">
                  <c:v>April</c:v>
                </c:pt>
                <c:pt idx="10">
                  <c:v>May</c:v>
                </c:pt>
                <c:pt idx="11">
                  <c:v>June</c:v>
                </c:pt>
              </c:strCache>
            </c:strRef>
          </c:cat>
          <c:val>
            <c:numRef>
              <c:f>GRT!$C$35:$N$35</c:f>
              <c:numCache>
                <c:formatCode>_("$"* #,##0_);_("$"* \(#,##0\);_("$"* "-"_);_(@_)</c:formatCode>
                <c:ptCount val="12"/>
                <c:pt idx="0">
                  <c:v>5772739.8285759995</c:v>
                </c:pt>
                <c:pt idx="1">
                  <c:v>5699233.6979200002</c:v>
                </c:pt>
                <c:pt idx="2">
                  <c:v>6460706.2140319999</c:v>
                </c:pt>
                <c:pt idx="3">
                  <c:v>3620987.3554400001</c:v>
                </c:pt>
                <c:pt idx="4">
                  <c:v>4712839.7022560006</c:v>
                </c:pt>
                <c:pt idx="5">
                  <c:v>4346447.418544</c:v>
                </c:pt>
                <c:pt idx="6">
                  <c:v>3713809.1146239997</c:v>
                </c:pt>
                <c:pt idx="7">
                  <c:v>4102634.7937119999</c:v>
                </c:pt>
                <c:pt idx="8">
                  <c:v>4044183.25</c:v>
                </c:pt>
                <c:pt idx="9">
                  <c:v>4018940.9535520002</c:v>
                </c:pt>
                <c:pt idx="10">
                  <c:v>3657946.466608</c:v>
                </c:pt>
                <c:pt idx="11">
                  <c:v>3018653.8070080001</c:v>
                </c:pt>
              </c:numCache>
            </c:numRef>
          </c:val>
          <c:smooth val="0"/>
        </c:ser>
        <c:dLbls>
          <c:showLegendKey val="0"/>
          <c:showVal val="0"/>
          <c:showCatName val="0"/>
          <c:showSerName val="0"/>
          <c:showPercent val="0"/>
          <c:showBubbleSize val="0"/>
        </c:dLbls>
        <c:marker val="1"/>
        <c:smooth val="0"/>
        <c:axId val="100155392"/>
        <c:axId val="100156928"/>
      </c:lineChart>
      <c:catAx>
        <c:axId val="10015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0156928"/>
        <c:crosses val="autoZero"/>
        <c:auto val="1"/>
        <c:lblAlgn val="ctr"/>
        <c:lblOffset val="100"/>
        <c:noMultiLvlLbl val="0"/>
      </c:catAx>
      <c:valAx>
        <c:axId val="100156928"/>
        <c:scaling>
          <c:orientation val="minMax"/>
        </c:scaling>
        <c:delete val="0"/>
        <c:axPos val="l"/>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0155392"/>
        <c:crosses val="autoZero"/>
        <c:crossBetween val="between"/>
      </c:valAx>
      <c:spPr>
        <a:solidFill>
          <a:srgbClr val="C0C0C0"/>
        </a:solidFill>
        <a:ln w="12700">
          <a:solidFill>
            <a:srgbClr val="808080"/>
          </a:solidFill>
          <a:prstDash val="solid"/>
        </a:ln>
      </c:spPr>
    </c:plotArea>
    <c:legend>
      <c:legendPos val="b"/>
      <c:layout/>
      <c:overlay val="0"/>
      <c:txPr>
        <a:bodyPr/>
        <a:lstStyle/>
        <a:p>
          <a:pPr>
            <a:defRPr sz="71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257175</xdr:colOff>
      <xdr:row>6</xdr:row>
      <xdr:rowOff>9525</xdr:rowOff>
    </xdr:from>
    <xdr:to>
      <xdr:col>14</xdr:col>
      <xdr:colOff>514350</xdr:colOff>
      <xdr:row>34</xdr:row>
      <xdr:rowOff>142875</xdr:rowOff>
    </xdr:to>
    <xdr:graphicFrame macro="">
      <xdr:nvGraphicFramePr>
        <xdr:cNvPr id="12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723900</xdr:colOff>
      <xdr:row>81</xdr:row>
      <xdr:rowOff>19050</xdr:rowOff>
    </xdr:from>
    <xdr:to>
      <xdr:col>8</xdr:col>
      <xdr:colOff>895350</xdr:colOff>
      <xdr:row>100</xdr:row>
      <xdr:rowOff>85725</xdr:rowOff>
    </xdr:to>
    <xdr:graphicFrame macro="">
      <xdr:nvGraphicFramePr>
        <xdr:cNvPr id="23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81</xdr:row>
      <xdr:rowOff>9525</xdr:rowOff>
    </xdr:from>
    <xdr:to>
      <xdr:col>16</xdr:col>
      <xdr:colOff>581025</xdr:colOff>
      <xdr:row>100</xdr:row>
      <xdr:rowOff>19050</xdr:rowOff>
    </xdr:to>
    <xdr:graphicFrame macro="">
      <xdr:nvGraphicFramePr>
        <xdr:cNvPr id="23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workbookViewId="0">
      <selection activeCell="L4" sqref="L4"/>
    </sheetView>
  </sheetViews>
  <sheetFormatPr defaultRowHeight="12.75" x14ac:dyDescent="0.2"/>
  <cols>
    <col min="1" max="1" width="10.85546875" style="1" customWidth="1"/>
    <col min="2" max="2" width="18.5703125" style="1" customWidth="1"/>
    <col min="3" max="3" width="10.28515625" style="1" bestFit="1" customWidth="1"/>
    <col min="4" max="13" width="10.28515625" style="1" customWidth="1"/>
    <col min="14" max="14" width="12.28515625" style="1" customWidth="1"/>
    <col min="15" max="17" width="9.140625" style="1"/>
    <col min="18" max="18" width="9.7109375" style="1" bestFit="1" customWidth="1"/>
    <col min="19" max="16384" width="9.140625" style="1"/>
  </cols>
  <sheetData>
    <row r="1" spans="1:15" x14ac:dyDescent="0.2">
      <c r="O1" s="6"/>
    </row>
    <row r="7" spans="1:15" x14ac:dyDescent="0.2">
      <c r="A7" s="11">
        <v>1993</v>
      </c>
      <c r="B7" s="1">
        <f>+GRT!O12</f>
        <v>12921369</v>
      </c>
    </row>
    <row r="8" spans="1:15" x14ac:dyDescent="0.2">
      <c r="A8" s="11">
        <v>1994</v>
      </c>
      <c r="B8" s="1">
        <f>+GRT!O13</f>
        <v>14283507</v>
      </c>
    </row>
    <row r="9" spans="1:15" x14ac:dyDescent="0.2">
      <c r="A9" s="11">
        <v>1995</v>
      </c>
      <c r="B9" s="1">
        <f>+GRT!O14</f>
        <v>13696299</v>
      </c>
    </row>
    <row r="10" spans="1:15" x14ac:dyDescent="0.2">
      <c r="A10" s="11">
        <v>1996</v>
      </c>
      <c r="B10" s="1">
        <f>+GRT!O15</f>
        <v>15044957</v>
      </c>
    </row>
    <row r="11" spans="1:15" x14ac:dyDescent="0.2">
      <c r="A11" s="11">
        <v>1997</v>
      </c>
      <c r="B11" s="1">
        <f>+GRT!O16</f>
        <v>16188431</v>
      </c>
    </row>
    <row r="12" spans="1:15" x14ac:dyDescent="0.2">
      <c r="A12" s="11">
        <v>1998</v>
      </c>
      <c r="B12" s="1">
        <f>+GRT!O17</f>
        <v>17355281</v>
      </c>
    </row>
    <row r="13" spans="1:15" x14ac:dyDescent="0.2">
      <c r="A13" s="11">
        <v>1999</v>
      </c>
      <c r="B13" s="1">
        <f>+GRT!O18</f>
        <v>15710669</v>
      </c>
    </row>
    <row r="14" spans="1:15" x14ac:dyDescent="0.2">
      <c r="A14" s="11">
        <v>2000</v>
      </c>
      <c r="B14" s="1">
        <f>+GRT!O19</f>
        <v>15306944</v>
      </c>
    </row>
    <row r="15" spans="1:15" x14ac:dyDescent="0.2">
      <c r="A15" s="11">
        <v>2001</v>
      </c>
      <c r="B15" s="1">
        <f>+GRT!O20</f>
        <v>18464849</v>
      </c>
    </row>
    <row r="16" spans="1:15" x14ac:dyDescent="0.2">
      <c r="A16" s="11">
        <v>2002</v>
      </c>
      <c r="B16" s="1">
        <f>+GRT!O21</f>
        <v>19905159</v>
      </c>
    </row>
    <row r="17" spans="1:2" x14ac:dyDescent="0.2">
      <c r="A17" s="11">
        <v>2003</v>
      </c>
      <c r="B17" s="1">
        <f>+GRT!O22</f>
        <v>19000551</v>
      </c>
    </row>
    <row r="18" spans="1:2" x14ac:dyDescent="0.2">
      <c r="A18" s="11">
        <v>2004</v>
      </c>
      <c r="B18" s="1">
        <f>+GRT!O23</f>
        <v>21276720.72608</v>
      </c>
    </row>
    <row r="19" spans="1:2" x14ac:dyDescent="0.2">
      <c r="A19" s="11">
        <v>2005</v>
      </c>
      <c r="B19" s="1">
        <f>+GRT!O24</f>
        <v>24807520.070143998</v>
      </c>
    </row>
    <row r="20" spans="1:2" x14ac:dyDescent="0.2">
      <c r="A20" s="11">
        <v>2006</v>
      </c>
      <c r="B20" s="1">
        <f>+GRT!O25</f>
        <v>31367768.500767998</v>
      </c>
    </row>
    <row r="21" spans="1:2" x14ac:dyDescent="0.2">
      <c r="A21" s="11">
        <v>2007</v>
      </c>
      <c r="B21" s="1">
        <f>+GRT!O26</f>
        <v>36612132.408992</v>
      </c>
    </row>
    <row r="22" spans="1:2" x14ac:dyDescent="0.2">
      <c r="A22" s="11">
        <v>2008</v>
      </c>
      <c r="B22" s="1">
        <f>+GRT!O27</f>
        <v>40358387.166496001</v>
      </c>
    </row>
    <row r="23" spans="1:2" x14ac:dyDescent="0.2">
      <c r="A23" s="11">
        <v>2009</v>
      </c>
      <c r="B23" s="1">
        <f>+GRT!O28</f>
        <v>42688402.496544003</v>
      </c>
    </row>
    <row r="24" spans="1:2" x14ac:dyDescent="0.2">
      <c r="A24" s="11">
        <v>2010</v>
      </c>
      <c r="B24" s="1">
        <f>+GRT!O29</f>
        <v>33380270.668079995</v>
      </c>
    </row>
    <row r="25" spans="1:2" x14ac:dyDescent="0.2">
      <c r="A25" s="11">
        <v>2011</v>
      </c>
      <c r="B25" s="1">
        <f>+GRT!O30</f>
        <v>45507711.856991991</v>
      </c>
    </row>
    <row r="26" spans="1:2" x14ac:dyDescent="0.2">
      <c r="A26" s="11">
        <v>2012</v>
      </c>
      <c r="B26" s="1">
        <f>+GRT!O31</f>
        <v>60618813.724896006</v>
      </c>
    </row>
    <row r="27" spans="1:2" x14ac:dyDescent="0.2">
      <c r="A27" s="11">
        <v>2013</v>
      </c>
      <c r="B27" s="1">
        <f>+GRT!O32</f>
        <v>65310148.757951997</v>
      </c>
    </row>
    <row r="28" spans="1:2" x14ac:dyDescent="0.2">
      <c r="A28" s="11">
        <v>2014</v>
      </c>
      <c r="B28" s="1">
        <f>+GRT!O33</f>
        <v>72600731.592815995</v>
      </c>
    </row>
    <row r="29" spans="1:2" x14ac:dyDescent="0.2">
      <c r="A29" s="26" t="s">
        <v>57</v>
      </c>
      <c r="B29" s="1">
        <f>+GRT!O48</f>
        <v>3342359.6022720039</v>
      </c>
    </row>
    <row r="30" spans="1:2" x14ac:dyDescent="0.2">
      <c r="A30" s="11"/>
    </row>
  </sheetData>
  <phoneticPr fontId="0" type="noConversion"/>
  <pageMargins left="0.35" right="0.35" top="0.8" bottom="0.5" header="0.25" footer="0.25"/>
  <pageSetup scale="81" orientation="landscape" r:id="rId1"/>
  <headerFooter alignWithMargins="0">
    <oddHeader xml:space="preserve">&amp;C&amp;16CITY OF BULLHEAD CITY, ARIZONA
FY 2003 City Sales Tax Monthly Estimator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1"/>
  <sheetViews>
    <sheetView tabSelected="1" topLeftCell="B85" workbookViewId="0">
      <selection activeCell="K108" sqref="K108"/>
    </sheetView>
  </sheetViews>
  <sheetFormatPr defaultRowHeight="12.75" x14ac:dyDescent="0.2"/>
  <cols>
    <col min="1" max="1" width="3.28515625" style="1" customWidth="1"/>
    <col min="2" max="2" width="15.5703125" style="1" customWidth="1"/>
    <col min="3" max="3" width="15.28515625" style="1" customWidth="1"/>
    <col min="4" max="4" width="15.140625" style="1" customWidth="1"/>
    <col min="5" max="5" width="15" style="1" customWidth="1"/>
    <col min="6" max="6" width="15.85546875" style="1" customWidth="1"/>
    <col min="7" max="7" width="14.28515625" style="1" customWidth="1"/>
    <col min="8" max="8" width="15.28515625" style="1" customWidth="1"/>
    <col min="9" max="9" width="13.7109375" style="1" customWidth="1"/>
    <col min="10" max="10" width="13.5703125" style="1" customWidth="1"/>
    <col min="11" max="11" width="14.28515625" style="1" customWidth="1"/>
    <col min="12" max="12" width="14.5703125" style="1" customWidth="1"/>
    <col min="13" max="13" width="15" style="1" customWidth="1"/>
    <col min="14" max="14" width="13.85546875" style="1" customWidth="1"/>
    <col min="15" max="15" width="15" style="1" customWidth="1"/>
    <col min="16" max="16" width="16.140625" style="29" bestFit="1" customWidth="1"/>
    <col min="17" max="17" width="19.140625" style="22" bestFit="1" customWidth="1"/>
    <col min="18" max="16384" width="9.140625" style="1"/>
  </cols>
  <sheetData>
    <row r="1" spans="1:15" x14ac:dyDescent="0.2">
      <c r="B1" s="8"/>
    </row>
    <row r="2" spans="1:15" x14ac:dyDescent="0.2">
      <c r="B2" s="8"/>
    </row>
    <row r="3" spans="1:15" hidden="1" x14ac:dyDescent="0.2">
      <c r="B3" s="19" t="s">
        <v>34</v>
      </c>
      <c r="C3" s="9"/>
      <c r="D3" s="9"/>
      <c r="E3" s="9"/>
      <c r="F3" s="9"/>
      <c r="G3" s="9"/>
      <c r="H3" s="9"/>
      <c r="I3" s="9"/>
      <c r="J3" s="9"/>
      <c r="K3" s="9"/>
      <c r="L3" s="9"/>
      <c r="M3" s="9"/>
      <c r="N3" s="9"/>
      <c r="O3" s="9"/>
    </row>
    <row r="4" spans="1:15" hidden="1" x14ac:dyDescent="0.2">
      <c r="B4" s="19" t="s">
        <v>40</v>
      </c>
      <c r="C4" s="9"/>
      <c r="D4" s="9"/>
      <c r="E4" s="9"/>
      <c r="F4" s="9"/>
      <c r="G4" s="9"/>
      <c r="H4" s="9"/>
      <c r="I4" s="9"/>
      <c r="J4" s="9"/>
      <c r="K4" s="9"/>
      <c r="L4" s="9"/>
      <c r="M4" s="9"/>
      <c r="N4" s="9"/>
      <c r="O4" s="9"/>
    </row>
    <row r="5" spans="1:15" hidden="1" x14ac:dyDescent="0.2">
      <c r="B5" s="19" t="s">
        <v>35</v>
      </c>
      <c r="C5" s="9"/>
      <c r="D5" s="9"/>
      <c r="E5" s="9"/>
      <c r="F5" s="9"/>
      <c r="G5" s="9"/>
      <c r="H5" s="9"/>
      <c r="I5" s="9"/>
      <c r="J5" s="9"/>
      <c r="K5" s="9"/>
      <c r="L5" s="9"/>
      <c r="M5" s="9"/>
      <c r="N5" s="9"/>
      <c r="O5" s="9"/>
    </row>
    <row r="6" spans="1:15" hidden="1" x14ac:dyDescent="0.2">
      <c r="B6" s="19" t="s">
        <v>36</v>
      </c>
      <c r="C6" s="9"/>
      <c r="D6" s="9"/>
      <c r="E6" s="9"/>
      <c r="F6" s="9"/>
      <c r="G6" s="9"/>
      <c r="H6" s="9"/>
      <c r="I6" s="9"/>
      <c r="J6" s="9"/>
      <c r="K6" s="9"/>
      <c r="L6" s="9"/>
      <c r="M6" s="9"/>
      <c r="N6" s="9"/>
      <c r="O6" s="9"/>
    </row>
    <row r="7" spans="1:15" hidden="1" x14ac:dyDescent="0.2">
      <c r="B7" s="19" t="s">
        <v>37</v>
      </c>
      <c r="C7" s="9"/>
      <c r="D7" s="9"/>
      <c r="E7" s="9"/>
      <c r="F7" s="9"/>
      <c r="G7" s="9"/>
      <c r="H7" s="9"/>
      <c r="I7" s="9"/>
      <c r="J7" s="9"/>
      <c r="K7" s="9"/>
      <c r="L7" s="9"/>
      <c r="M7" s="9"/>
      <c r="N7" s="9"/>
      <c r="O7" s="9"/>
    </row>
    <row r="8" spans="1:15" hidden="1" x14ac:dyDescent="0.2">
      <c r="B8" s="19" t="s">
        <v>33</v>
      </c>
      <c r="C8" s="9"/>
      <c r="D8" s="9"/>
      <c r="E8" s="9"/>
      <c r="F8" s="9"/>
      <c r="G8" s="9"/>
      <c r="H8" s="9"/>
      <c r="I8" s="9"/>
      <c r="J8" s="9"/>
      <c r="K8" s="9"/>
      <c r="L8" s="9"/>
      <c r="M8" s="9"/>
      <c r="N8" s="9"/>
      <c r="O8" s="9"/>
    </row>
    <row r="10" spans="1:15" x14ac:dyDescent="0.2">
      <c r="C10" s="20" t="s">
        <v>43</v>
      </c>
      <c r="D10" s="20" t="s">
        <v>45</v>
      </c>
      <c r="E10" s="20" t="s">
        <v>44</v>
      </c>
      <c r="F10" s="20" t="s">
        <v>46</v>
      </c>
      <c r="G10" s="20" t="s">
        <v>47</v>
      </c>
      <c r="H10" s="20" t="s">
        <v>48</v>
      </c>
      <c r="I10" s="20" t="s">
        <v>49</v>
      </c>
      <c r="J10" s="20" t="s">
        <v>50</v>
      </c>
      <c r="K10" s="20" t="s">
        <v>51</v>
      </c>
      <c r="L10" s="20" t="s">
        <v>52</v>
      </c>
      <c r="M10" s="21" t="s">
        <v>53</v>
      </c>
      <c r="N10" s="21" t="s">
        <v>54</v>
      </c>
      <c r="O10" s="3" t="s">
        <v>8</v>
      </c>
    </row>
    <row r="11" spans="1:15" x14ac:dyDescent="0.2">
      <c r="B11" s="1" t="s">
        <v>0</v>
      </c>
    </row>
    <row r="12" spans="1:15" x14ac:dyDescent="0.2">
      <c r="A12" s="7">
        <v>1</v>
      </c>
      <c r="B12" s="13" t="s">
        <v>16</v>
      </c>
      <c r="C12" s="14">
        <v>1049860</v>
      </c>
      <c r="D12" s="14">
        <v>1070917</v>
      </c>
      <c r="E12" s="14">
        <v>1017179</v>
      </c>
      <c r="F12" s="14">
        <v>1209973</v>
      </c>
      <c r="G12" s="14">
        <v>967352</v>
      </c>
      <c r="H12" s="14">
        <v>1065448</v>
      </c>
      <c r="I12" s="14">
        <v>1030820</v>
      </c>
      <c r="J12" s="14">
        <v>1118555</v>
      </c>
      <c r="K12" s="14">
        <v>923729</v>
      </c>
      <c r="L12" s="14">
        <v>1251922</v>
      </c>
      <c r="M12" s="14">
        <v>1091188</v>
      </c>
      <c r="N12" s="14">
        <v>1124426</v>
      </c>
      <c r="O12" s="14">
        <f>SUM(C12:N12)</f>
        <v>12921369</v>
      </c>
    </row>
    <row r="13" spans="1:15" x14ac:dyDescent="0.2">
      <c r="A13" s="7">
        <v>2</v>
      </c>
      <c r="B13" s="13" t="s">
        <v>15</v>
      </c>
      <c r="C13" s="14">
        <v>1255659</v>
      </c>
      <c r="D13" s="14">
        <v>1219096</v>
      </c>
      <c r="E13" s="14">
        <v>1164751</v>
      </c>
      <c r="F13" s="14">
        <v>1184537</v>
      </c>
      <c r="G13" s="14">
        <v>1120774</v>
      </c>
      <c r="H13" s="14">
        <v>1274187</v>
      </c>
      <c r="I13" s="14">
        <v>1151443</v>
      </c>
      <c r="J13" s="14">
        <v>1461393</v>
      </c>
      <c r="K13" s="14">
        <v>958670</v>
      </c>
      <c r="L13" s="14">
        <v>1203108</v>
      </c>
      <c r="M13" s="14">
        <v>1132366</v>
      </c>
      <c r="N13" s="14">
        <v>1157523</v>
      </c>
      <c r="O13" s="14">
        <f>SUM(C13:N13)</f>
        <v>14283507</v>
      </c>
    </row>
    <row r="14" spans="1:15" x14ac:dyDescent="0.2">
      <c r="A14" s="7">
        <v>3</v>
      </c>
      <c r="B14" s="13" t="s">
        <v>1</v>
      </c>
      <c r="C14" s="14">
        <v>1093545</v>
      </c>
      <c r="D14" s="14">
        <v>1053740</v>
      </c>
      <c r="E14" s="14">
        <v>1195967</v>
      </c>
      <c r="F14" s="14">
        <v>1114980</v>
      </c>
      <c r="G14" s="14">
        <v>1075597</v>
      </c>
      <c r="H14" s="14">
        <v>1078587</v>
      </c>
      <c r="I14" s="14">
        <v>1067229</v>
      </c>
      <c r="J14" s="14">
        <v>1414084</v>
      </c>
      <c r="K14" s="14">
        <v>950276</v>
      </c>
      <c r="L14" s="14">
        <v>1268874</v>
      </c>
      <c r="M14" s="14">
        <v>1134320</v>
      </c>
      <c r="N14" s="14">
        <v>1249100</v>
      </c>
      <c r="O14" s="14">
        <f t="shared" ref="O14:O20" si="0">SUM(C14:N14)</f>
        <v>13696299</v>
      </c>
    </row>
    <row r="15" spans="1:15" x14ac:dyDescent="0.2">
      <c r="A15" s="7">
        <v>4</v>
      </c>
      <c r="B15" s="13" t="s">
        <v>2</v>
      </c>
      <c r="C15" s="14">
        <v>1231803</v>
      </c>
      <c r="D15" s="14">
        <v>1247583</v>
      </c>
      <c r="E15" s="14">
        <v>1248731</v>
      </c>
      <c r="F15" s="14">
        <v>1229183</v>
      </c>
      <c r="G15" s="14">
        <v>1257021</v>
      </c>
      <c r="H15" s="14">
        <v>1245837</v>
      </c>
      <c r="I15" s="14">
        <v>1149191</v>
      </c>
      <c r="J15" s="14">
        <v>1407358</v>
      </c>
      <c r="K15" s="14">
        <v>1187513</v>
      </c>
      <c r="L15" s="14">
        <v>1163384</v>
      </c>
      <c r="M15" s="14">
        <v>1250615</v>
      </c>
      <c r="N15" s="14">
        <v>1426738</v>
      </c>
      <c r="O15" s="14">
        <f t="shared" si="0"/>
        <v>15044957</v>
      </c>
    </row>
    <row r="16" spans="1:15" x14ac:dyDescent="0.2">
      <c r="A16" s="7">
        <v>5</v>
      </c>
      <c r="B16" s="13" t="s">
        <v>3</v>
      </c>
      <c r="C16" s="14">
        <v>1242449</v>
      </c>
      <c r="D16" s="14">
        <v>1347926</v>
      </c>
      <c r="E16" s="14">
        <v>1382128</v>
      </c>
      <c r="F16" s="14">
        <v>1358148</v>
      </c>
      <c r="G16" s="14">
        <v>1364735</v>
      </c>
      <c r="H16" s="14">
        <v>1295825</v>
      </c>
      <c r="I16" s="14">
        <v>1433949</v>
      </c>
      <c r="J16" s="14">
        <v>1515023</v>
      </c>
      <c r="K16" s="14">
        <v>1255771</v>
      </c>
      <c r="L16" s="14">
        <v>1298505</v>
      </c>
      <c r="M16" s="14">
        <v>1119129</v>
      </c>
      <c r="N16" s="14">
        <v>1574843</v>
      </c>
      <c r="O16" s="14">
        <f t="shared" si="0"/>
        <v>16188431</v>
      </c>
    </row>
    <row r="17" spans="1:19" x14ac:dyDescent="0.2">
      <c r="A17" s="7">
        <v>6</v>
      </c>
      <c r="B17" s="13" t="s">
        <v>4</v>
      </c>
      <c r="C17" s="14">
        <v>1496904</v>
      </c>
      <c r="D17" s="14">
        <v>1597051</v>
      </c>
      <c r="E17" s="14">
        <v>1387251</v>
      </c>
      <c r="F17" s="14">
        <v>1323909</v>
      </c>
      <c r="G17" s="14">
        <v>1559593</v>
      </c>
      <c r="H17" s="14">
        <v>1348068</v>
      </c>
      <c r="I17" s="14">
        <v>1467670</v>
      </c>
      <c r="J17" s="14">
        <v>1550608</v>
      </c>
      <c r="K17" s="14">
        <v>1385013</v>
      </c>
      <c r="L17" s="14">
        <v>1584848</v>
      </c>
      <c r="M17" s="14">
        <v>1246537</v>
      </c>
      <c r="N17" s="14">
        <v>1407829</v>
      </c>
      <c r="O17" s="14">
        <f t="shared" si="0"/>
        <v>17355281</v>
      </c>
    </row>
    <row r="18" spans="1:19" x14ac:dyDescent="0.2">
      <c r="A18" s="7">
        <v>7</v>
      </c>
      <c r="B18" s="13" t="s">
        <v>5</v>
      </c>
      <c r="C18" s="14">
        <v>1545585</v>
      </c>
      <c r="D18" s="14">
        <v>1492322</v>
      </c>
      <c r="E18" s="14">
        <v>1908511</v>
      </c>
      <c r="F18" s="14">
        <v>1263522</v>
      </c>
      <c r="G18" s="14">
        <v>1369943</v>
      </c>
      <c r="H18" s="14">
        <v>1170055</v>
      </c>
      <c r="I18" s="14">
        <v>1222407</v>
      </c>
      <c r="J18" s="14">
        <v>1302085</v>
      </c>
      <c r="K18" s="14">
        <v>914903</v>
      </c>
      <c r="L18" s="14">
        <v>1333853</v>
      </c>
      <c r="M18" s="14">
        <v>1147445</v>
      </c>
      <c r="N18" s="14">
        <v>1040038</v>
      </c>
      <c r="O18" s="14">
        <f t="shared" si="0"/>
        <v>15710669</v>
      </c>
    </row>
    <row r="19" spans="1:19" x14ac:dyDescent="0.2">
      <c r="A19" s="7">
        <v>8</v>
      </c>
      <c r="B19" s="13" t="s">
        <v>6</v>
      </c>
      <c r="C19" s="14">
        <v>1396124</v>
      </c>
      <c r="D19" s="14">
        <v>1169774</v>
      </c>
      <c r="E19" s="14">
        <v>1253549</v>
      </c>
      <c r="F19" s="14">
        <v>1059921</v>
      </c>
      <c r="G19" s="14">
        <v>1102007</v>
      </c>
      <c r="H19" s="14">
        <v>1584896</v>
      </c>
      <c r="I19" s="14">
        <v>1278509</v>
      </c>
      <c r="J19" s="14">
        <v>1261377</v>
      </c>
      <c r="K19" s="14">
        <v>1286597</v>
      </c>
      <c r="L19" s="14">
        <v>1296670</v>
      </c>
      <c r="M19" s="14">
        <v>1205795</v>
      </c>
      <c r="N19" s="14">
        <v>1411725</v>
      </c>
      <c r="O19" s="14">
        <f t="shared" si="0"/>
        <v>15306944</v>
      </c>
    </row>
    <row r="20" spans="1:19" x14ac:dyDescent="0.2">
      <c r="A20" s="7">
        <v>9</v>
      </c>
      <c r="B20" s="13" t="s">
        <v>7</v>
      </c>
      <c r="C20" s="14">
        <v>1547415</v>
      </c>
      <c r="D20" s="14">
        <v>1334603</v>
      </c>
      <c r="E20" s="14">
        <v>1594133</v>
      </c>
      <c r="F20" s="14">
        <v>1467172</v>
      </c>
      <c r="G20" s="14">
        <v>1523262</v>
      </c>
      <c r="H20" s="14">
        <v>1475733</v>
      </c>
      <c r="I20" s="14">
        <v>1324361</v>
      </c>
      <c r="J20" s="14">
        <v>1659374</v>
      </c>
      <c r="K20" s="14">
        <v>1407882</v>
      </c>
      <c r="L20" s="14">
        <v>1857586</v>
      </c>
      <c r="M20" s="14">
        <v>1359908</v>
      </c>
      <c r="N20" s="14">
        <v>1913420</v>
      </c>
      <c r="O20" s="14">
        <f t="shared" si="0"/>
        <v>18464849</v>
      </c>
    </row>
    <row r="21" spans="1:19" x14ac:dyDescent="0.2">
      <c r="A21" s="7">
        <v>10</v>
      </c>
      <c r="B21" s="13" t="s">
        <v>13</v>
      </c>
      <c r="C21" s="14">
        <v>1963447</v>
      </c>
      <c r="D21" s="14">
        <v>1775214</v>
      </c>
      <c r="E21" s="14">
        <v>1797353</v>
      </c>
      <c r="F21" s="14">
        <v>1714476</v>
      </c>
      <c r="G21" s="14">
        <v>1838860</v>
      </c>
      <c r="H21" s="14">
        <v>1768536</v>
      </c>
      <c r="I21" s="14">
        <v>1445741</v>
      </c>
      <c r="J21" s="14">
        <v>1724230</v>
      </c>
      <c r="K21" s="14">
        <v>1429203</v>
      </c>
      <c r="L21" s="14">
        <v>1481091</v>
      </c>
      <c r="M21" s="14">
        <v>1324605</v>
      </c>
      <c r="N21" s="14">
        <v>1642403</v>
      </c>
      <c r="O21" s="14">
        <f t="shared" ref="O21:O27" si="1">SUM(C21:N21)</f>
        <v>19905159</v>
      </c>
      <c r="S21" s="6"/>
    </row>
    <row r="22" spans="1:19" x14ac:dyDescent="0.2">
      <c r="A22" s="7">
        <v>11</v>
      </c>
      <c r="B22" s="13" t="s">
        <v>14</v>
      </c>
      <c r="C22" s="14">
        <v>1506139</v>
      </c>
      <c r="D22" s="14">
        <v>1736332</v>
      </c>
      <c r="E22" s="14">
        <v>1582355</v>
      </c>
      <c r="F22" s="14">
        <v>1436144</v>
      </c>
      <c r="G22" s="14">
        <v>1519188</v>
      </c>
      <c r="H22" s="14">
        <v>1332489</v>
      </c>
      <c r="I22" s="14">
        <v>1653874</v>
      </c>
      <c r="J22" s="14">
        <v>1670312</v>
      </c>
      <c r="K22" s="14">
        <v>1502270</v>
      </c>
      <c r="L22" s="14">
        <v>1839625</v>
      </c>
      <c r="M22" s="14">
        <v>1428268</v>
      </c>
      <c r="N22" s="14">
        <v>1793555</v>
      </c>
      <c r="O22" s="14">
        <f t="shared" si="1"/>
        <v>19000551</v>
      </c>
      <c r="S22" s="6"/>
    </row>
    <row r="23" spans="1:19" x14ac:dyDescent="0.2">
      <c r="A23" s="7">
        <v>12</v>
      </c>
      <c r="B23" s="13" t="s">
        <v>17</v>
      </c>
      <c r="C23" s="14">
        <v>1787179</v>
      </c>
      <c r="D23" s="14">
        <f>1969501*0.952</f>
        <v>1874964.9519999998</v>
      </c>
      <c r="E23" s="14">
        <v>1740392</v>
      </c>
      <c r="F23" s="14">
        <v>1901724</v>
      </c>
      <c r="G23" s="14">
        <v>1591960</v>
      </c>
      <c r="H23" s="14">
        <v>1853339</v>
      </c>
      <c r="I23" s="14">
        <f>1492864.69*0.952</f>
        <v>1421207.1848799998</v>
      </c>
      <c r="J23" s="14">
        <f>2114604.83*0.952</f>
        <v>2013103.79816</v>
      </c>
      <c r="K23" s="14">
        <f>1839729.71*0.952</f>
        <v>1751422.68392</v>
      </c>
      <c r="L23" s="14">
        <f>1789567.36*0.952</f>
        <v>1703668.1267200001</v>
      </c>
      <c r="M23" s="14">
        <f>(1919727.43-23022.53)*0.952</f>
        <v>1805663.0647999998</v>
      </c>
      <c r="N23" s="14">
        <f>1924471.55*0.952</f>
        <v>1832096.9155999999</v>
      </c>
      <c r="O23" s="14">
        <f t="shared" si="1"/>
        <v>21276720.72608</v>
      </c>
      <c r="S23" s="6"/>
    </row>
    <row r="24" spans="1:19" x14ac:dyDescent="0.2">
      <c r="A24" s="7">
        <v>13</v>
      </c>
      <c r="B24" s="13" t="s">
        <v>19</v>
      </c>
      <c r="C24" s="14">
        <f>1948015.41*0.952</f>
        <v>1854510.6703199998</v>
      </c>
      <c r="D24" s="14">
        <f>2066115.7*0.952</f>
        <v>1966942.1464</v>
      </c>
      <c r="E24" s="14">
        <f>1998476.95*0.952</f>
        <v>1902550.0563999999</v>
      </c>
      <c r="F24" s="14">
        <f>2032443.17*0.952</f>
        <v>1934885.8978399998</v>
      </c>
      <c r="G24" s="14">
        <f>1978317.59*0.952</f>
        <v>1883358.34568</v>
      </c>
      <c r="H24" s="14">
        <f>2074219.86*0.952</f>
        <v>1974657.30672</v>
      </c>
      <c r="I24" s="14">
        <f>2005816.26*0.952</f>
        <v>1909537.0795199999</v>
      </c>
      <c r="J24" s="14">
        <f>2359586.64*0.952</f>
        <v>2246326.4812799999</v>
      </c>
      <c r="K24" s="14">
        <f>2143659.24*0.9296</f>
        <v>1992745.6295040001</v>
      </c>
      <c r="L24" s="14">
        <f>2501143.91*0.9296</f>
        <v>2325063.378736</v>
      </c>
      <c r="M24" s="14">
        <f>2681089.47*0.9296</f>
        <v>2492340.7713120002</v>
      </c>
      <c r="N24" s="14">
        <f>2500647.92*0.9296</f>
        <v>2324602.3064319999</v>
      </c>
      <c r="O24" s="14">
        <f t="shared" si="1"/>
        <v>24807520.070143998</v>
      </c>
      <c r="S24" s="6"/>
    </row>
    <row r="25" spans="1:19" x14ac:dyDescent="0.2">
      <c r="A25" s="7">
        <v>14</v>
      </c>
      <c r="B25" s="13" t="s">
        <v>20</v>
      </c>
      <c r="C25" s="14">
        <f>2461996*0.9296</f>
        <v>2288671.4816000001</v>
      </c>
      <c r="D25" s="14">
        <f>2720186.15*0.9296</f>
        <v>2528685.0450399998</v>
      </c>
      <c r="E25" s="14">
        <f>2500606.44*0.9296</f>
        <v>2324563.7466239999</v>
      </c>
      <c r="F25" s="14">
        <f>2652351.64*0.9296</f>
        <v>2465626.0845440002</v>
      </c>
      <c r="G25" s="14">
        <f>2857086.65*0.9296</f>
        <v>2655947.7498399997</v>
      </c>
      <c r="H25" s="14">
        <f>2690725.04*0.9296</f>
        <v>2501297.997184</v>
      </c>
      <c r="I25" s="14">
        <f>2850831.62*0.9296</f>
        <v>2650133.0739520001</v>
      </c>
      <c r="J25" s="14">
        <f>3182222.77*0.9296</f>
        <v>2958194.286992</v>
      </c>
      <c r="K25" s="14">
        <f>3069184.77*0.9296</f>
        <v>2853114.1621920001</v>
      </c>
      <c r="L25" s="14">
        <f>2868651.71*0.9296</f>
        <v>2666698.6296159998</v>
      </c>
      <c r="M25" s="14">
        <f>3067392.33*0.9296</f>
        <v>2851447.9099679999</v>
      </c>
      <c r="N25" s="14">
        <f>2822061.46*0.9296</f>
        <v>2623388.3332159999</v>
      </c>
      <c r="O25" s="14">
        <f t="shared" si="1"/>
        <v>31367768.500767998</v>
      </c>
      <c r="S25" s="6"/>
    </row>
    <row r="26" spans="1:19" x14ac:dyDescent="0.2">
      <c r="A26" s="7">
        <v>15</v>
      </c>
      <c r="B26" s="13" t="s">
        <v>29</v>
      </c>
      <c r="C26" s="14">
        <f>2773386.09*0.9296</f>
        <v>2578139.7092639999</v>
      </c>
      <c r="D26" s="14">
        <f>3514042.71*0.9296</f>
        <v>3266654.1032159999</v>
      </c>
      <c r="E26" s="14">
        <f>3418804.51*0.9296</f>
        <v>3178120.6724959998</v>
      </c>
      <c r="F26" s="14">
        <f>2941780.4*0.9296</f>
        <v>2734679.0598399998</v>
      </c>
      <c r="G26" s="14">
        <f>3427645.9*0.9296</f>
        <v>3186339.6286399998</v>
      </c>
      <c r="H26" s="14">
        <f>3462354.39*0.9296</f>
        <v>3218604.6409439999</v>
      </c>
      <c r="I26" s="14">
        <f>3115237.53*0.9296</f>
        <v>2895924.8078879998</v>
      </c>
      <c r="J26" s="14">
        <f>3545590.8*0.9296</f>
        <v>3295981.20768</v>
      </c>
      <c r="K26" s="14">
        <f>3210944.31*0.9296</f>
        <v>2984893.8305759998</v>
      </c>
      <c r="L26" s="14">
        <f>3150762.28*0.9296</f>
        <v>2928948.6154879997</v>
      </c>
      <c r="M26" s="14">
        <f>3451066.49*0.9296</f>
        <v>3208111.4091040003</v>
      </c>
      <c r="N26" s="14">
        <f>3373208.61*0.9296</f>
        <v>3135734.7238559998</v>
      </c>
      <c r="O26" s="14">
        <f t="shared" si="1"/>
        <v>36612132.408992</v>
      </c>
      <c r="S26" s="6"/>
    </row>
    <row r="27" spans="1:19" s="38" customFormat="1" x14ac:dyDescent="0.2">
      <c r="A27" s="35">
        <v>16</v>
      </c>
      <c r="B27" s="27" t="s">
        <v>30</v>
      </c>
      <c r="C27" s="27">
        <f>3511503.54*0.9296</f>
        <v>3264293.6907839999</v>
      </c>
      <c r="D27" s="27">
        <f>3652545.33*0.9296</f>
        <v>3395406.1387680001</v>
      </c>
      <c r="E27" s="27">
        <f>3396862.94*0.9296</f>
        <v>3157723.7890240001</v>
      </c>
      <c r="F27" s="27">
        <f>3502560.91*0.9296</f>
        <v>3255980.621936</v>
      </c>
      <c r="G27" s="27">
        <f>3526132.79*0.9296</f>
        <v>3277893.041584</v>
      </c>
      <c r="H27" s="27">
        <f>3646451.69*0.9296</f>
        <v>3389741.4910240001</v>
      </c>
      <c r="I27" s="27">
        <f>3420597.91*0.9296</f>
        <v>3179787.8171359999</v>
      </c>
      <c r="J27" s="27">
        <f>3784073.72*0.9296</f>
        <v>3517674.9301120001</v>
      </c>
      <c r="K27" s="27">
        <f>3676666.46*0.9296</f>
        <v>3417829.1412160001</v>
      </c>
      <c r="L27" s="27">
        <f>3562204.31*0.9296</f>
        <v>3311425.1265759999</v>
      </c>
      <c r="M27" s="27">
        <f>4277778.71*0.9296</f>
        <v>3976623.0888159997</v>
      </c>
      <c r="N27" s="27">
        <f>3457409.95*0.9296</f>
        <v>3214008.2895200001</v>
      </c>
      <c r="O27" s="27">
        <f t="shared" si="1"/>
        <v>40358387.166496001</v>
      </c>
      <c r="P27" s="36"/>
      <c r="Q27" s="37"/>
      <c r="S27" s="39"/>
    </row>
    <row r="28" spans="1:19" x14ac:dyDescent="0.2">
      <c r="A28" s="7">
        <v>17</v>
      </c>
      <c r="B28" s="13" t="s">
        <v>31</v>
      </c>
      <c r="C28" s="14">
        <f>3795387.55*0.9296</f>
        <v>3528192.2664799998</v>
      </c>
      <c r="D28" s="14">
        <f>4200867.25*0.9296</f>
        <v>3905126.1955999997</v>
      </c>
      <c r="E28" s="14">
        <f>4142411.14*0.9296</f>
        <v>3850785.3957440001</v>
      </c>
      <c r="F28" s="14">
        <f>4094337.22*0.9296</f>
        <v>3806095.879712</v>
      </c>
      <c r="G28" s="14">
        <f>4291179.31*0.9296</f>
        <v>3989080.2865759996</v>
      </c>
      <c r="H28" s="14">
        <f>4582818.24*0.9296</f>
        <v>4260187.8359040003</v>
      </c>
      <c r="I28" s="14">
        <f>3715368.32*0.9296</f>
        <v>3453806.3902719999</v>
      </c>
      <c r="J28" s="14">
        <f>4200875.34*0.9296</f>
        <v>3905133.7160639996</v>
      </c>
      <c r="K28" s="14">
        <f>3688740.86*0.9296</f>
        <v>3429053.5034559998</v>
      </c>
      <c r="L28" s="14">
        <f>3187155.88*0.9296</f>
        <v>2962780.106048</v>
      </c>
      <c r="M28" s="14">
        <f>3175135.86*0.9296</f>
        <v>2951606.2954559997</v>
      </c>
      <c r="N28" s="14">
        <f>2846982.17*0.9296</f>
        <v>2646554.6252319999</v>
      </c>
      <c r="O28" s="14">
        <f t="shared" ref="O28:O34" si="2">SUM(C28:N28)</f>
        <v>42688402.496544003</v>
      </c>
      <c r="S28" s="6"/>
    </row>
    <row r="29" spans="1:19" x14ac:dyDescent="0.2">
      <c r="A29" s="7">
        <f>+A28+1</f>
        <v>18</v>
      </c>
      <c r="B29" s="13" t="s">
        <v>32</v>
      </c>
      <c r="C29" s="14">
        <f>2636831.5*0.9296</f>
        <v>2451198.5624000002</v>
      </c>
      <c r="D29" s="14">
        <f>2815458.81*0.9296</f>
        <v>2617250.5097759999</v>
      </c>
      <c r="E29" s="14">
        <f>2796870.32*0.9296</f>
        <v>2599970.6494719996</v>
      </c>
      <c r="F29" s="14">
        <f>2715379*0.9296</f>
        <v>2524216.3183999998</v>
      </c>
      <c r="G29" s="14">
        <f>2710592.04*0.9296</f>
        <v>2519766.360384</v>
      </c>
      <c r="H29" s="14">
        <f>2763928.29*0.9296</f>
        <v>2569347.738384</v>
      </c>
      <c r="I29" s="14">
        <f>3022105.79*0.9296</f>
        <v>2809349.542384</v>
      </c>
      <c r="J29" s="14">
        <f>3298701.67*0.9296</f>
        <v>3066473.0724319997</v>
      </c>
      <c r="K29" s="14">
        <f>3030613.28*0.9296</f>
        <v>2817258.1050879997</v>
      </c>
      <c r="L29" s="14">
        <f>3036502.79*0.9296</f>
        <v>2822732.993584</v>
      </c>
      <c r="M29" s="14">
        <f>3524950.44*0.9296</f>
        <v>3276793.9290239997</v>
      </c>
      <c r="N29" s="14">
        <f>3556274.62*0.9296</f>
        <v>3305912.8867520001</v>
      </c>
      <c r="O29" s="14">
        <f t="shared" si="2"/>
        <v>33380270.668079995</v>
      </c>
      <c r="S29" s="6"/>
    </row>
    <row r="30" spans="1:19" s="38" customFormat="1" x14ac:dyDescent="0.2">
      <c r="A30" s="35">
        <f t="shared" ref="A30:A48" si="3">+A29+1</f>
        <v>19</v>
      </c>
      <c r="B30" s="27" t="s">
        <v>38</v>
      </c>
      <c r="C30" s="27">
        <f>3417703.11*0.9296</f>
        <v>3177096.8110559997</v>
      </c>
      <c r="D30" s="27">
        <f>3851435.46*0.9296</f>
        <v>3580294.403616</v>
      </c>
      <c r="E30" s="27">
        <f>3588053.87*0.9296</f>
        <v>3335454.8775519999</v>
      </c>
      <c r="F30" s="27">
        <f>4097235.7*0.9296</f>
        <v>3808790.3067200002</v>
      </c>
      <c r="G30" s="27">
        <f>3981793.54*0.9296</f>
        <v>3701475.2747840001</v>
      </c>
      <c r="H30" s="27">
        <f>3806892.72*0.9296</f>
        <v>3538887.4725120002</v>
      </c>
      <c r="I30" s="27">
        <f>4077995.09*0.9296</f>
        <v>3790904.2356639998</v>
      </c>
      <c r="J30" s="27">
        <f>4351261.55*0.9296</f>
        <v>4044932.7368799997</v>
      </c>
      <c r="K30" s="27">
        <f>4364870.05*0.9296</f>
        <v>4057583.1984799998</v>
      </c>
      <c r="L30" s="27">
        <f>3811585.53*0.9296</f>
        <v>3543249.9086879999</v>
      </c>
      <c r="M30" s="27">
        <f>4881017.3*0.9296</f>
        <v>4537393.6820799997</v>
      </c>
      <c r="N30" s="27">
        <f>4724235.1*0.9296</f>
        <v>4391648.9489599997</v>
      </c>
      <c r="O30" s="27">
        <f t="shared" si="2"/>
        <v>45507711.856991991</v>
      </c>
      <c r="P30" s="36"/>
      <c r="Q30" s="37">
        <v>1.2500000000000001E-2</v>
      </c>
    </row>
    <row r="31" spans="1:19" s="8" customFormat="1" x14ac:dyDescent="0.2">
      <c r="A31" s="18">
        <v>20</v>
      </c>
      <c r="B31" s="13" t="s">
        <v>39</v>
      </c>
      <c r="C31" s="15">
        <f>5007357.77*0.9296</f>
        <v>4654839.7829919998</v>
      </c>
      <c r="D31" s="15">
        <f>5397034.87*0.9296</f>
        <v>5017083.6151520004</v>
      </c>
      <c r="E31" s="15">
        <f>5040427.6*0.9296</f>
        <v>4685581.4969599992</v>
      </c>
      <c r="F31" s="15">
        <f>5315969.75*0.9296</f>
        <v>4941725.4796000002</v>
      </c>
      <c r="G31" s="15">
        <f>5612575.3*0.9296</f>
        <v>5217449.9988799999</v>
      </c>
      <c r="H31" s="15">
        <f>5399209.67*0.9296</f>
        <v>5019105.3092320003</v>
      </c>
      <c r="I31" s="15">
        <f>5745886.69*0.9296</f>
        <v>5341376.2670240002</v>
      </c>
      <c r="J31" s="15">
        <f>5664635.98*0.9296</f>
        <v>5265845.6070079999</v>
      </c>
      <c r="K31" s="15">
        <f>5318164.27*0.9296</f>
        <v>4943765.5053919991</v>
      </c>
      <c r="L31" s="15">
        <f>5341051.84*0.9296</f>
        <v>4965041.7904639998</v>
      </c>
      <c r="M31" s="15">
        <f>6307638.73*0.9296</f>
        <v>5863580.9634079998</v>
      </c>
      <c r="N31" s="15">
        <f>5059614.79*0.9296</f>
        <v>4703417.9087840002</v>
      </c>
      <c r="O31" s="15">
        <f t="shared" si="2"/>
        <v>60618813.724896006</v>
      </c>
      <c r="P31" s="30"/>
      <c r="Q31" s="23">
        <v>1.225E-2</v>
      </c>
    </row>
    <row r="32" spans="1:19" s="8" customFormat="1" x14ac:dyDescent="0.2">
      <c r="A32" s="18">
        <v>21</v>
      </c>
      <c r="B32" s="13" t="s">
        <v>41</v>
      </c>
      <c r="C32" s="15">
        <f>6052129.82*0.9296</f>
        <v>5626059.8806720003</v>
      </c>
      <c r="D32" s="15">
        <f>4480241.97*0.9296</f>
        <v>4164832.9353119996</v>
      </c>
      <c r="E32" s="15">
        <f>5994729.41*0.9296</f>
        <v>5572700.4595360002</v>
      </c>
      <c r="F32" s="15">
        <f>6596408.96*0.9296</f>
        <v>6132021.7692160001</v>
      </c>
      <c r="G32" s="15">
        <f>6241137.66*0.9296</f>
        <v>5801761.568736</v>
      </c>
      <c r="H32" s="15">
        <f>6352354.95*0.9296</f>
        <v>5905149.1615199996</v>
      </c>
      <c r="I32" s="15">
        <f>5993497.39*0.9296</f>
        <v>5571555.1737439996</v>
      </c>
      <c r="J32" s="15">
        <f>5855000.04*0.9296</f>
        <v>5442808.037184</v>
      </c>
      <c r="K32" s="15">
        <f>5003748.73*0.9296</f>
        <v>4651484.8194080004</v>
      </c>
      <c r="L32" s="15">
        <f>5710126.44*0.9296</f>
        <v>5308133.5386240007</v>
      </c>
      <c r="M32" s="15">
        <f>6071830.74*0.9296</f>
        <v>5644373.8559039999</v>
      </c>
      <c r="N32" s="15">
        <f>5904978.01*0.9296</f>
        <v>5489267.558096</v>
      </c>
      <c r="O32" s="15">
        <f t="shared" si="2"/>
        <v>65310148.757951997</v>
      </c>
      <c r="P32" s="30"/>
      <c r="Q32" s="23">
        <v>1.25E-3</v>
      </c>
    </row>
    <row r="33" spans="1:17" s="8" customFormat="1" x14ac:dyDescent="0.2">
      <c r="A33" s="18">
        <v>22</v>
      </c>
      <c r="B33" s="13" t="s">
        <v>42</v>
      </c>
      <c r="C33" s="15">
        <f>6018811.63*0.9296</f>
        <v>5595087.2912480002</v>
      </c>
      <c r="D33" s="15">
        <f>6896708.08*0.9296</f>
        <v>6411179.8311679997</v>
      </c>
      <c r="E33" s="15">
        <f>6365319.32*0.9296</f>
        <v>5917200.8398719998</v>
      </c>
      <c r="F33" s="15">
        <f>7081337.83*0.9296</f>
        <v>6582811.646768</v>
      </c>
      <c r="G33" s="15">
        <f>6016235.7*0.9296</f>
        <v>5592692.7067200001</v>
      </c>
      <c r="H33" s="15">
        <f>6640055.76*0.9296</f>
        <v>6172595.8344959999</v>
      </c>
      <c r="I33" s="15">
        <f>6141595.18*0.9296</f>
        <v>5709226.8793279994</v>
      </c>
      <c r="J33" s="15">
        <f>6631171.18*0.9296</f>
        <v>6164336.7289279997</v>
      </c>
      <c r="K33" s="15">
        <f>7050424.7*0.9296</f>
        <v>6554074.80112</v>
      </c>
      <c r="L33" s="15">
        <f>6156296.42*0.9296</f>
        <v>5722893.152032</v>
      </c>
      <c r="M33" s="15">
        <f>7383885.8*0.9296</f>
        <v>6864060.2396799996</v>
      </c>
      <c r="N33" s="15">
        <f>5717052.11*0.9296</f>
        <v>5314571.6414560005</v>
      </c>
      <c r="O33" s="15">
        <f t="shared" si="2"/>
        <v>72600731.592815995</v>
      </c>
      <c r="P33" s="30"/>
      <c r="Q33" s="23">
        <f>+Q32/2</f>
        <v>6.2500000000000001E-4</v>
      </c>
    </row>
    <row r="34" spans="1:17" s="8" customFormat="1" x14ac:dyDescent="0.2">
      <c r="A34" s="18"/>
      <c r="B34" s="40" t="s">
        <v>55</v>
      </c>
      <c r="C34" s="32">
        <f>6887551.94*0.9296</f>
        <v>6402668.2834240003</v>
      </c>
      <c r="D34" s="32">
        <f>7349346.18*0.9296</f>
        <v>6831952.2089279993</v>
      </c>
      <c r="E34" s="32">
        <f>7876969.42*0.9296</f>
        <v>7322430.7728319997</v>
      </c>
      <c r="F34" s="32">
        <f>7817403.81*0.9296</f>
        <v>7267058.5817759996</v>
      </c>
      <c r="G34" s="32">
        <f>7699424.95*0.9296</f>
        <v>7157385.4335200004</v>
      </c>
      <c r="H34" s="32">
        <f>8713146.05*0.9296</f>
        <v>8099740.5680800006</v>
      </c>
      <c r="I34" s="32">
        <f>7258033.36*0.9296</f>
        <v>6747067.8114560004</v>
      </c>
      <c r="J34" s="32">
        <f>9957639.43*0.9296</f>
        <v>9256621.6141279992</v>
      </c>
      <c r="K34" s="32">
        <f>7986948.58*0.9296</f>
        <v>7424667.3999680001</v>
      </c>
      <c r="L34" s="32">
        <f>6824880.9*0.9296</f>
        <v>6344409.2846400002</v>
      </c>
      <c r="M34" s="32">
        <f>7349928.91*0.9296</f>
        <v>6832493.9147359999</v>
      </c>
      <c r="N34" s="32">
        <f>6536520.83*0.9296</f>
        <v>6076349.7635679999</v>
      </c>
      <c r="O34" s="32">
        <f t="shared" si="2"/>
        <v>85762845.637056008</v>
      </c>
      <c r="P34" s="30"/>
      <c r="Q34" s="23"/>
    </row>
    <row r="35" spans="1:17" s="8" customFormat="1" x14ac:dyDescent="0.2">
      <c r="A35" s="18"/>
      <c r="B35" s="40" t="s">
        <v>58</v>
      </c>
      <c r="C35" s="32">
        <f>6209918.06*0.9296</f>
        <v>5772739.8285759995</v>
      </c>
      <c r="D35" s="32">
        <f>6130845.2*0.9296</f>
        <v>5699233.6979200002</v>
      </c>
      <c r="E35" s="32">
        <f>6949985.17*0.9296</f>
        <v>6460706.2140319999</v>
      </c>
      <c r="F35" s="32">
        <f>3895210.15*0.9296</f>
        <v>3620987.3554400001</v>
      </c>
      <c r="G35" s="32">
        <f>5069750.11*0.9296</f>
        <v>4712839.7022560006</v>
      </c>
      <c r="H35" s="32">
        <f>4675610.39*0.9296</f>
        <v>4346447.418544</v>
      </c>
      <c r="I35" s="32">
        <f>3995061.44*0.9296</f>
        <v>3713809.1146239997</v>
      </c>
      <c r="J35" s="32">
        <f>4413333.47*0.9296</f>
        <v>4102634.7937119999</v>
      </c>
      <c r="K35" s="32">
        <v>4044183.25</v>
      </c>
      <c r="L35" s="32">
        <f>4323301.37*0.9296</f>
        <v>4018940.9535520002</v>
      </c>
      <c r="M35" s="32">
        <f>3934968.23*0.9296</f>
        <v>3657946.466608</v>
      </c>
      <c r="N35" s="32">
        <f>3247260.98*0.9296</f>
        <v>3018653.8070080001</v>
      </c>
      <c r="O35" s="32">
        <f>SUM(C35:N35)</f>
        <v>53169122.602272004</v>
      </c>
      <c r="P35" s="30"/>
      <c r="Q35" s="23"/>
    </row>
    <row r="36" spans="1:17" x14ac:dyDescent="0.2">
      <c r="A36" s="7"/>
      <c r="B36" s="16"/>
      <c r="C36" s="15"/>
      <c r="D36" s="15"/>
      <c r="E36" s="15"/>
      <c r="F36" s="15"/>
      <c r="G36" s="15"/>
      <c r="H36" s="15"/>
      <c r="I36" s="15"/>
      <c r="J36" s="15"/>
      <c r="K36" s="15"/>
      <c r="L36" s="15"/>
      <c r="M36" s="15"/>
      <c r="N36" s="15"/>
      <c r="O36" s="15"/>
      <c r="Q36" s="22">
        <f>SUM(Q30:Q33)</f>
        <v>2.6625000000000003E-2</v>
      </c>
    </row>
    <row r="37" spans="1:17" s="6" customFormat="1" x14ac:dyDescent="0.2">
      <c r="A37" s="6">
        <f>+A30+1</f>
        <v>20</v>
      </c>
      <c r="B37" s="33" t="s">
        <v>59</v>
      </c>
      <c r="C37" s="33"/>
      <c r="D37" s="33">
        <f t="shared" ref="D37:I37" si="4">+(D35-C35)/D35</f>
        <v>-1.289754632852241E-2</v>
      </c>
      <c r="E37" s="33">
        <f t="shared" si="4"/>
        <v>0.11786211768276331</v>
      </c>
      <c r="F37" s="33">
        <f t="shared" si="4"/>
        <v>-0.78423882213389684</v>
      </c>
      <c r="G37" s="33">
        <f t="shared" si="4"/>
        <v>0.23167610523509619</v>
      </c>
      <c r="H37" s="33">
        <f t="shared" si="4"/>
        <v>-8.4296955290152104E-2</v>
      </c>
      <c r="I37" s="33">
        <f t="shared" si="4"/>
        <v>-0.17034755540580632</v>
      </c>
      <c r="J37" s="33"/>
      <c r="K37" s="33"/>
      <c r="L37" s="33"/>
      <c r="M37" s="33"/>
      <c r="N37" s="33"/>
      <c r="O37" s="33"/>
      <c r="P37" s="34"/>
    </row>
    <row r="38" spans="1:17" x14ac:dyDescent="0.2">
      <c r="A38" s="7">
        <f t="shared" si="3"/>
        <v>21</v>
      </c>
      <c r="B38" s="2" t="s">
        <v>9</v>
      </c>
      <c r="C38" s="2">
        <f>AVERAGE(C12:C34)</f>
        <v>2545081.1926191305</v>
      </c>
      <c r="D38" s="2">
        <f>AVERAGE(D12:D34)</f>
        <v>2634996.9602163476</v>
      </c>
      <c r="E38" s="2">
        <f>AVERAGE(E12:E34)</f>
        <v>2657364.4676744347</v>
      </c>
      <c r="F38" s="2">
        <f>AVERAGE(F12:F34)</f>
        <v>2683373.0715805218</v>
      </c>
      <c r="G38" s="2">
        <f>AVERAGE(G12:G34)</f>
        <v>2664062.7128410437</v>
      </c>
      <c r="H38" s="2">
        <f t="shared" ref="H38:N38" si="5">AVERAGE(H12:H34)</f>
        <v>2745318.0589565216</v>
      </c>
      <c r="I38" s="2">
        <f t="shared" si="5"/>
        <v>2595872.6201412175</v>
      </c>
      <c r="J38" s="2">
        <f t="shared" si="5"/>
        <v>2924427.4442107826</v>
      </c>
      <c r="K38" s="2">
        <f t="shared" si="5"/>
        <v>2612161.7295791302</v>
      </c>
      <c r="L38" s="2">
        <f t="shared" si="5"/>
        <v>2616717.8544006958</v>
      </c>
      <c r="M38" s="2">
        <f t="shared" si="5"/>
        <v>2771507.1793168695</v>
      </c>
      <c r="N38" s="2">
        <f t="shared" si="5"/>
        <v>2643441.4739770438</v>
      </c>
      <c r="O38" s="2">
        <f>AVERAGE(O12:O34)</f>
        <v>32094324.765513737</v>
      </c>
      <c r="Q38" s="22">
        <v>1.25E-3</v>
      </c>
    </row>
    <row r="39" spans="1:17" x14ac:dyDescent="0.2">
      <c r="A39" s="7">
        <f t="shared" si="3"/>
        <v>22</v>
      </c>
      <c r="B39" s="2" t="s">
        <v>10</v>
      </c>
      <c r="C39" s="5">
        <f t="shared" ref="C39:N39" si="6">C38/$O38</f>
        <v>7.9300038596041525E-2</v>
      </c>
      <c r="D39" s="5">
        <f t="shared" si="6"/>
        <v>8.2101648172007241E-2</v>
      </c>
      <c r="E39" s="5">
        <f>E38/$O38</f>
        <v>8.2798578474218232E-2</v>
      </c>
      <c r="F39" s="5">
        <f>F38/$O38</f>
        <v>8.3608958630090338E-2</v>
      </c>
      <c r="G39" s="5">
        <f t="shared" si="6"/>
        <v>8.3007283446687577E-2</v>
      </c>
      <c r="H39" s="5">
        <f t="shared" si="6"/>
        <v>8.5539050253097826E-2</v>
      </c>
      <c r="I39" s="5">
        <f t="shared" si="6"/>
        <v>8.0882605853435999E-2</v>
      </c>
      <c r="J39" s="5">
        <f t="shared" si="6"/>
        <v>9.1119768544037513E-2</v>
      </c>
      <c r="K39" s="5">
        <f t="shared" si="6"/>
        <v>8.1390144477691967E-2</v>
      </c>
      <c r="L39" s="5">
        <f t="shared" si="6"/>
        <v>8.1532104928795174E-2</v>
      </c>
      <c r="M39" s="5">
        <f t="shared" si="6"/>
        <v>8.6355054968937459E-2</v>
      </c>
      <c r="N39" s="5">
        <f t="shared" si="6"/>
        <v>8.2364763654959233E-2</v>
      </c>
      <c r="O39" s="10">
        <f>SUM(C39:N39)</f>
        <v>1</v>
      </c>
    </row>
    <row r="40" spans="1:17" x14ac:dyDescent="0.2">
      <c r="A40" s="7">
        <f t="shared" si="3"/>
        <v>23</v>
      </c>
    </row>
    <row r="41" spans="1:17" x14ac:dyDescent="0.2">
      <c r="A41" s="7">
        <f t="shared" si="3"/>
        <v>24</v>
      </c>
      <c r="B41" s="13" t="s">
        <v>58</v>
      </c>
      <c r="C41" s="2"/>
      <c r="D41" s="2"/>
      <c r="E41" s="2"/>
      <c r="F41" s="2"/>
      <c r="G41" s="2"/>
      <c r="H41" s="2"/>
      <c r="I41" s="2"/>
      <c r="J41" s="2"/>
      <c r="K41" s="2"/>
      <c r="L41" s="2"/>
      <c r="M41" s="2"/>
      <c r="N41" s="2"/>
      <c r="O41" s="2"/>
    </row>
    <row r="42" spans="1:17" x14ac:dyDescent="0.2">
      <c r="A42" s="7">
        <f t="shared" si="3"/>
        <v>25</v>
      </c>
      <c r="B42" s="13" t="s">
        <v>60</v>
      </c>
      <c r="C42" s="2">
        <f t="shared" ref="C42:M42" si="7">$O$42*C39</f>
        <v>3951264.2290158137</v>
      </c>
      <c r="D42" s="2">
        <f t="shared" si="7"/>
        <v>4090859.3653759882</v>
      </c>
      <c r="E42" s="2">
        <f>$O$42*E39</f>
        <v>4125585.1463717734</v>
      </c>
      <c r="F42" s="2">
        <f>$O$42*F39</f>
        <v>4165963.7663383158</v>
      </c>
      <c r="G42" s="2">
        <f t="shared" si="7"/>
        <v>4135984.2395719253</v>
      </c>
      <c r="H42" s="2">
        <f>$O$42*H39</f>
        <v>4262133.984206195</v>
      </c>
      <c r="I42" s="2">
        <f t="shared" si="7"/>
        <v>4030118.4326815684</v>
      </c>
      <c r="J42" s="2">
        <f t="shared" si="7"/>
        <v>4540203.1118586119</v>
      </c>
      <c r="K42" s="2">
        <f t="shared" si="7"/>
        <v>4055407.4394257166</v>
      </c>
      <c r="L42" s="2">
        <f>$O$42*L39</f>
        <v>4062480.869178209</v>
      </c>
      <c r="M42" s="2">
        <f t="shared" si="7"/>
        <v>4302792.8577892194</v>
      </c>
      <c r="N42" s="2">
        <f>$O$42*N39</f>
        <v>4103969.5581866675</v>
      </c>
      <c r="O42" s="2">
        <v>49826763</v>
      </c>
      <c r="P42" s="31"/>
    </row>
    <row r="43" spans="1:17" x14ac:dyDescent="0.2">
      <c r="A43" s="7">
        <f t="shared" si="3"/>
        <v>26</v>
      </c>
      <c r="Q43" s="24"/>
    </row>
    <row r="44" spans="1:17" x14ac:dyDescent="0.2">
      <c r="A44" s="7">
        <f t="shared" si="3"/>
        <v>27</v>
      </c>
      <c r="B44" s="13" t="s">
        <v>58</v>
      </c>
      <c r="C44" s="2"/>
      <c r="D44" s="2"/>
      <c r="E44" s="2"/>
      <c r="F44" s="2"/>
      <c r="G44" s="2"/>
      <c r="H44" s="2"/>
      <c r="I44" s="2"/>
      <c r="J44" s="2"/>
      <c r="K44" s="2"/>
      <c r="L44" s="2"/>
      <c r="M44" s="2"/>
      <c r="N44" s="2"/>
      <c r="O44" s="2"/>
      <c r="Q44" s="28">
        <f>+M34-M35</f>
        <v>3174547.4481279999</v>
      </c>
    </row>
    <row r="45" spans="1:17" x14ac:dyDescent="0.2">
      <c r="A45" s="7">
        <f t="shared" si="3"/>
        <v>28</v>
      </c>
      <c r="B45" s="2" t="s">
        <v>11</v>
      </c>
      <c r="C45" s="2">
        <f t="shared" ref="C45:K45" si="8">+C35</f>
        <v>5772739.8285759995</v>
      </c>
      <c r="D45" s="2">
        <f t="shared" si="8"/>
        <v>5699233.6979200002</v>
      </c>
      <c r="E45" s="2">
        <f t="shared" si="8"/>
        <v>6460706.2140319999</v>
      </c>
      <c r="F45" s="2">
        <f t="shared" si="8"/>
        <v>3620987.3554400001</v>
      </c>
      <c r="G45" s="2">
        <f t="shared" si="8"/>
        <v>4712839.7022560006</v>
      </c>
      <c r="H45" s="2">
        <f t="shared" si="8"/>
        <v>4346447.418544</v>
      </c>
      <c r="I45" s="2">
        <f t="shared" si="8"/>
        <v>3713809.1146239997</v>
      </c>
      <c r="J45" s="2">
        <f t="shared" si="8"/>
        <v>4102634.7937119999</v>
      </c>
      <c r="K45" s="2">
        <f t="shared" si="8"/>
        <v>4044183.25</v>
      </c>
      <c r="L45" s="2">
        <f>+L35</f>
        <v>4018940.9535520002</v>
      </c>
      <c r="M45" s="2">
        <f>+M35</f>
        <v>3657946.466608</v>
      </c>
      <c r="N45" s="2">
        <f>+N35</f>
        <v>3018653.8070080001</v>
      </c>
      <c r="O45" s="2">
        <f>SUM(C45:N45)</f>
        <v>53169122.602272004</v>
      </c>
    </row>
    <row r="46" spans="1:17" x14ac:dyDescent="0.2">
      <c r="A46" s="7">
        <f t="shared" si="3"/>
        <v>29</v>
      </c>
    </row>
    <row r="47" spans="1:17" ht="15" x14ac:dyDescent="0.25">
      <c r="A47" s="7">
        <f t="shared" si="3"/>
        <v>30</v>
      </c>
      <c r="B47" s="17" t="s">
        <v>58</v>
      </c>
      <c r="C47" s="17"/>
      <c r="D47" s="17"/>
      <c r="E47" s="17"/>
      <c r="F47" s="17"/>
      <c r="G47" s="17"/>
      <c r="H47" s="17"/>
      <c r="I47" s="17"/>
      <c r="J47" s="17"/>
      <c r="K47" s="17"/>
      <c r="L47" s="17"/>
      <c r="M47" s="17"/>
      <c r="N47" s="17"/>
      <c r="O47" s="17"/>
      <c r="Q47" s="24"/>
    </row>
    <row r="48" spans="1:17" ht="15" x14ac:dyDescent="0.25">
      <c r="A48" s="7">
        <f t="shared" si="3"/>
        <v>31</v>
      </c>
      <c r="B48" s="17" t="s">
        <v>12</v>
      </c>
      <c r="C48" s="17">
        <f t="shared" ref="C48:I48" si="9">+C45-C42</f>
        <v>1821475.5995601858</v>
      </c>
      <c r="D48" s="17">
        <f t="shared" si="9"/>
        <v>1608374.332544012</v>
      </c>
      <c r="E48" s="17">
        <f t="shared" si="9"/>
        <v>2335121.0676602265</v>
      </c>
      <c r="F48" s="17">
        <f t="shared" si="9"/>
        <v>-544976.41089831572</v>
      </c>
      <c r="G48" s="17">
        <f t="shared" si="9"/>
        <v>576855.46268407535</v>
      </c>
      <c r="H48" s="17">
        <f t="shared" si="9"/>
        <v>84313.434337805025</v>
      </c>
      <c r="I48" s="17">
        <f t="shared" si="9"/>
        <v>-316309.31805756874</v>
      </c>
      <c r="J48" s="17">
        <f>+J45-J42</f>
        <v>-437568.31814661203</v>
      </c>
      <c r="K48" s="17">
        <f>+K45-K42</f>
        <v>-11224.189425716642</v>
      </c>
      <c r="L48" s="17">
        <f>+L45-L42</f>
        <v>-43539.915626208764</v>
      </c>
      <c r="M48" s="17">
        <f>+M45-M42</f>
        <v>-644846.39118121937</v>
      </c>
      <c r="N48" s="17">
        <f>+O35-O42</f>
        <v>3342359.6022720039</v>
      </c>
      <c r="O48" s="17">
        <f>+O35-O42</f>
        <v>3342359.6022720039</v>
      </c>
    </row>
    <row r="49" spans="2:17" x14ac:dyDescent="0.2">
      <c r="B49" s="2"/>
      <c r="C49" s="2"/>
      <c r="D49" s="2"/>
      <c r="E49" s="2"/>
      <c r="F49" s="2"/>
      <c r="G49" s="2"/>
      <c r="H49" s="2"/>
      <c r="I49" s="2"/>
      <c r="J49" s="2"/>
      <c r="K49" s="2"/>
      <c r="L49" s="2"/>
      <c r="M49" s="2"/>
      <c r="N49" s="2"/>
      <c r="O49" s="2"/>
      <c r="Q49" s="24"/>
    </row>
    <row r="51" spans="2:17" hidden="1" x14ac:dyDescent="0.2">
      <c r="C51" s="12">
        <f t="shared" ref="C51:C63" si="10">(C13-C12)/C12</f>
        <v>0.19602518431028898</v>
      </c>
      <c r="D51" s="12">
        <f t="shared" ref="D51:N51" si="11">(D13-D12)/D12</f>
        <v>0.13836646537500105</v>
      </c>
      <c r="E51" s="12">
        <f t="shared" si="11"/>
        <v>0.1450796762418414</v>
      </c>
      <c r="F51" s="12">
        <f t="shared" si="11"/>
        <v>-2.1021956688289739E-2</v>
      </c>
      <c r="G51" s="12">
        <f t="shared" si="11"/>
        <v>0.15859997188200364</v>
      </c>
      <c r="H51" s="12">
        <f t="shared" si="11"/>
        <v>0.19591664726950542</v>
      </c>
      <c r="I51" s="12">
        <f t="shared" si="11"/>
        <v>0.1170165499311228</v>
      </c>
      <c r="J51" s="12">
        <f t="shared" si="11"/>
        <v>0.30650079790443924</v>
      </c>
      <c r="K51" s="12">
        <f t="shared" si="11"/>
        <v>3.7826029062636338E-2</v>
      </c>
      <c r="L51" s="12">
        <f t="shared" si="11"/>
        <v>-3.8991247058522818E-2</v>
      </c>
      <c r="M51" s="12">
        <f t="shared" si="11"/>
        <v>3.7736851944852767E-2</v>
      </c>
      <c r="N51" s="12">
        <f t="shared" si="11"/>
        <v>2.9434573729173817E-2</v>
      </c>
    </row>
    <row r="52" spans="2:17" hidden="1" x14ac:dyDescent="0.2">
      <c r="C52" s="12">
        <f t="shared" si="10"/>
        <v>-0.12910670811103969</v>
      </c>
      <c r="D52" s="12">
        <f t="shared" ref="D52:N52" si="12">(D14-D13)/D13</f>
        <v>-0.13563821060851647</v>
      </c>
      <c r="E52" s="12">
        <f t="shared" si="12"/>
        <v>2.6800577977610665E-2</v>
      </c>
      <c r="F52" s="12">
        <f t="shared" si="12"/>
        <v>-5.8720833540868711E-2</v>
      </c>
      <c r="G52" s="12">
        <f t="shared" si="12"/>
        <v>-4.0308750916777158E-2</v>
      </c>
      <c r="H52" s="12">
        <f t="shared" si="12"/>
        <v>-0.15350964968250344</v>
      </c>
      <c r="I52" s="12">
        <f t="shared" si="12"/>
        <v>-7.3137793186462546E-2</v>
      </c>
      <c r="J52" s="12">
        <f t="shared" si="12"/>
        <v>-3.2372537708884604E-2</v>
      </c>
      <c r="K52" s="12">
        <f t="shared" si="12"/>
        <v>-8.7558805428353866E-3</v>
      </c>
      <c r="L52" s="12">
        <f t="shared" si="12"/>
        <v>5.4663421737699357E-2</v>
      </c>
      <c r="M52" s="12">
        <f t="shared" si="12"/>
        <v>1.7255904892940976E-3</v>
      </c>
      <c r="N52" s="12">
        <f t="shared" si="12"/>
        <v>7.9114626664005816E-2</v>
      </c>
    </row>
    <row r="53" spans="2:17" hidden="1" x14ac:dyDescent="0.2">
      <c r="C53" s="12">
        <f t="shared" si="10"/>
        <v>0.1264310110695033</v>
      </c>
      <c r="D53" s="12">
        <f t="shared" ref="D53:N53" si="13">(D15-D14)/D14</f>
        <v>0.18395714312828593</v>
      </c>
      <c r="E53" s="12">
        <f t="shared" si="13"/>
        <v>4.4118274166427669E-2</v>
      </c>
      <c r="F53" s="12">
        <f t="shared" si="13"/>
        <v>0.10242605248524637</v>
      </c>
      <c r="G53" s="12">
        <f t="shared" si="13"/>
        <v>0.16867283936269811</v>
      </c>
      <c r="H53" s="12">
        <f t="shared" si="13"/>
        <v>0.15506398649344003</v>
      </c>
      <c r="I53" s="12">
        <f t="shared" si="13"/>
        <v>7.6798887586450523E-2</v>
      </c>
      <c r="J53" s="12">
        <f t="shared" si="13"/>
        <v>-4.7564359684431762E-3</v>
      </c>
      <c r="K53" s="12">
        <f t="shared" si="13"/>
        <v>0.24965062781760247</v>
      </c>
      <c r="L53" s="12">
        <f t="shared" si="13"/>
        <v>-8.3136702304562937E-2</v>
      </c>
      <c r="M53" s="12">
        <f t="shared" si="13"/>
        <v>0.1025239791240567</v>
      </c>
      <c r="N53" s="12">
        <f t="shared" si="13"/>
        <v>0.14221279321111199</v>
      </c>
    </row>
    <row r="54" spans="2:17" hidden="1" x14ac:dyDescent="0.2">
      <c r="C54" s="12">
        <f t="shared" si="10"/>
        <v>8.6426157429394142E-3</v>
      </c>
      <c r="D54" s="12">
        <f t="shared" ref="D54:N54" si="14">(D16-D15)/D15</f>
        <v>8.0429919291942903E-2</v>
      </c>
      <c r="E54" s="12">
        <f t="shared" si="14"/>
        <v>0.10682604980576281</v>
      </c>
      <c r="F54" s="12">
        <f t="shared" si="14"/>
        <v>0.10491928378443242</v>
      </c>
      <c r="G54" s="12">
        <f t="shared" si="14"/>
        <v>8.5689896986605632E-2</v>
      </c>
      <c r="H54" s="12">
        <f t="shared" si="14"/>
        <v>4.012402906640275E-2</v>
      </c>
      <c r="I54" s="12">
        <f t="shared" si="14"/>
        <v>0.24778996702897951</v>
      </c>
      <c r="J54" s="12">
        <f t="shared" si="14"/>
        <v>7.6501501394812127E-2</v>
      </c>
      <c r="K54" s="12">
        <f t="shared" si="14"/>
        <v>5.7479791800173978E-2</v>
      </c>
      <c r="L54" s="12">
        <f t="shared" si="14"/>
        <v>0.11614479827812657</v>
      </c>
      <c r="M54" s="12">
        <f t="shared" si="14"/>
        <v>-0.10513707256030033</v>
      </c>
      <c r="N54" s="12">
        <f t="shared" si="14"/>
        <v>0.10380672555157289</v>
      </c>
    </row>
    <row r="55" spans="2:17" hidden="1" x14ac:dyDescent="0.2">
      <c r="C55" s="12">
        <f t="shared" si="10"/>
        <v>0.20480116286463268</v>
      </c>
      <c r="D55" s="12">
        <f t="shared" ref="D55:N55" si="15">(D17-D16)/D16</f>
        <v>0.18482097681920223</v>
      </c>
      <c r="E55" s="12">
        <f t="shared" si="15"/>
        <v>3.7066031510829679E-3</v>
      </c>
      <c r="F55" s="12">
        <f t="shared" si="15"/>
        <v>-2.5210065471509731E-2</v>
      </c>
      <c r="G55" s="12">
        <f t="shared" si="15"/>
        <v>0.14278083290895302</v>
      </c>
      <c r="H55" s="12">
        <f t="shared" si="15"/>
        <v>4.0316400748557871E-2</v>
      </c>
      <c r="I55" s="12">
        <f t="shared" si="15"/>
        <v>2.351617805096276E-2</v>
      </c>
      <c r="J55" s="12">
        <f t="shared" si="15"/>
        <v>2.3488092259985494E-2</v>
      </c>
      <c r="K55" s="12">
        <f t="shared" si="15"/>
        <v>0.10291844611796259</v>
      </c>
      <c r="L55" s="12">
        <f t="shared" si="15"/>
        <v>0.22051744121123909</v>
      </c>
      <c r="M55" s="12">
        <f t="shared" si="15"/>
        <v>0.11384567820152994</v>
      </c>
      <c r="N55" s="12">
        <f t="shared" si="15"/>
        <v>-0.1060512063742227</v>
      </c>
    </row>
    <row r="56" spans="2:17" hidden="1" x14ac:dyDescent="0.2">
      <c r="C56" s="12">
        <f t="shared" si="10"/>
        <v>3.252112359910856E-2</v>
      </c>
      <c r="D56" s="12">
        <f t="shared" ref="D56:N56" si="16">(D18-D17)/D17</f>
        <v>-6.5576490669364967E-2</v>
      </c>
      <c r="E56" s="12">
        <f t="shared" si="16"/>
        <v>0.37575031483127425</v>
      </c>
      <c r="F56" s="12">
        <f t="shared" si="16"/>
        <v>-4.5612651624847324E-2</v>
      </c>
      <c r="G56" s="12">
        <f t="shared" si="16"/>
        <v>-0.1216022385327454</v>
      </c>
      <c r="H56" s="12">
        <f t="shared" si="16"/>
        <v>-0.13205046036253365</v>
      </c>
      <c r="I56" s="12">
        <f t="shared" si="16"/>
        <v>-0.16711045398488761</v>
      </c>
      <c r="J56" s="12">
        <f t="shared" si="16"/>
        <v>-0.16027455036991942</v>
      </c>
      <c r="K56" s="12">
        <f t="shared" si="16"/>
        <v>-0.33942641693615871</v>
      </c>
      <c r="L56" s="12">
        <f t="shared" si="16"/>
        <v>-0.15837165456876623</v>
      </c>
      <c r="M56" s="12">
        <f t="shared" si="16"/>
        <v>-7.949382970581699E-2</v>
      </c>
      <c r="N56" s="12">
        <f t="shared" si="16"/>
        <v>-0.26124692700604973</v>
      </c>
    </row>
    <row r="57" spans="2:17" hidden="1" x14ac:dyDescent="0.2">
      <c r="C57" s="12">
        <f t="shared" si="10"/>
        <v>-9.6701896045833777E-2</v>
      </c>
      <c r="D57" s="12">
        <f t="shared" ref="D57:N57" si="17">(D19-D18)/D18</f>
        <v>-0.21613834011694527</v>
      </c>
      <c r="E57" s="12">
        <f t="shared" si="17"/>
        <v>-0.34317957821568751</v>
      </c>
      <c r="F57" s="12">
        <f t="shared" si="17"/>
        <v>-0.16113767706458612</v>
      </c>
      <c r="G57" s="12">
        <f t="shared" si="17"/>
        <v>-0.19558185997519606</v>
      </c>
      <c r="H57" s="12">
        <f t="shared" si="17"/>
        <v>0.35454829046497816</v>
      </c>
      <c r="I57" s="12">
        <f t="shared" si="17"/>
        <v>4.5894697919759947E-2</v>
      </c>
      <c r="J57" s="12">
        <f t="shared" si="17"/>
        <v>-3.1263703982458903E-2</v>
      </c>
      <c r="K57" s="12">
        <f t="shared" si="17"/>
        <v>0.40626601945780044</v>
      </c>
      <c r="L57" s="12">
        <f t="shared" si="17"/>
        <v>-2.7876385178876532E-2</v>
      </c>
      <c r="M57" s="12">
        <f t="shared" si="17"/>
        <v>5.0852110558676014E-2</v>
      </c>
      <c r="N57" s="12">
        <f t="shared" si="17"/>
        <v>0.35737828810101169</v>
      </c>
    </row>
    <row r="58" spans="2:17" hidden="1" x14ac:dyDescent="0.2">
      <c r="C58" s="12">
        <f t="shared" si="10"/>
        <v>0.1083650162879515</v>
      </c>
      <c r="D58" s="12">
        <f t="shared" ref="D58:N58" si="18">(D20-D19)/D19</f>
        <v>0.1409067050558484</v>
      </c>
      <c r="E58" s="12">
        <f t="shared" si="18"/>
        <v>0.27169580128100296</v>
      </c>
      <c r="F58" s="12">
        <f t="shared" si="18"/>
        <v>0.38422769244122912</v>
      </c>
      <c r="G58" s="12">
        <f t="shared" si="18"/>
        <v>0.38226163717653339</v>
      </c>
      <c r="H58" s="12">
        <f t="shared" si="18"/>
        <v>-6.8877074584073661E-2</v>
      </c>
      <c r="I58" s="12">
        <f t="shared" si="18"/>
        <v>3.5863650549194416E-2</v>
      </c>
      <c r="J58" s="12">
        <f t="shared" si="18"/>
        <v>0.31552581028510907</v>
      </c>
      <c r="K58" s="12">
        <f t="shared" si="18"/>
        <v>9.4268057519176551E-2</v>
      </c>
      <c r="L58" s="12">
        <f t="shared" si="18"/>
        <v>0.43258192138323553</v>
      </c>
      <c r="M58" s="12">
        <f t="shared" si="18"/>
        <v>0.12781028284244006</v>
      </c>
      <c r="N58" s="12">
        <f t="shared" si="18"/>
        <v>0.35537728665285379</v>
      </c>
    </row>
    <row r="59" spans="2:17" hidden="1" x14ac:dyDescent="0.2">
      <c r="C59" s="12">
        <f t="shared" si="10"/>
        <v>0.26885612456903935</v>
      </c>
      <c r="D59" s="12">
        <f t="shared" ref="D59:N59" si="19">(D21-D20)/D20</f>
        <v>0.33014387049931704</v>
      </c>
      <c r="E59" s="12">
        <f t="shared" si="19"/>
        <v>0.12747995305285068</v>
      </c>
      <c r="F59" s="12">
        <f t="shared" si="19"/>
        <v>0.16855828764452974</v>
      </c>
      <c r="G59" s="12">
        <f t="shared" si="19"/>
        <v>0.20718563188735753</v>
      </c>
      <c r="H59" s="12">
        <f t="shared" si="19"/>
        <v>0.19841190784511833</v>
      </c>
      <c r="I59" s="12">
        <f t="shared" si="19"/>
        <v>9.1651747522012508E-2</v>
      </c>
      <c r="J59" s="12">
        <f t="shared" si="19"/>
        <v>3.9084618657397305E-2</v>
      </c>
      <c r="K59" s="12">
        <f t="shared" si="19"/>
        <v>1.5144024854355691E-2</v>
      </c>
      <c r="L59" s="12">
        <f t="shared" si="19"/>
        <v>-0.20267971442506566</v>
      </c>
      <c r="M59" s="12">
        <f t="shared" si="19"/>
        <v>-2.5959844342411397E-2</v>
      </c>
      <c r="N59" s="12">
        <f t="shared" si="19"/>
        <v>-0.14164009992578733</v>
      </c>
    </row>
    <row r="60" spans="2:17" hidden="1" x14ac:dyDescent="0.2">
      <c r="C60" s="12">
        <f t="shared" si="10"/>
        <v>-0.23291079412889679</v>
      </c>
      <c r="D60" s="12">
        <f t="shared" ref="D60:N60" si="20">(D22-D21)/D21</f>
        <v>-2.1902711447746581E-2</v>
      </c>
      <c r="E60" s="12">
        <f t="shared" si="20"/>
        <v>-0.11961924007137162</v>
      </c>
      <c r="F60" s="12">
        <f t="shared" si="20"/>
        <v>-0.16234231333655297</v>
      </c>
      <c r="G60" s="12">
        <f t="shared" si="20"/>
        <v>-0.17384248936841304</v>
      </c>
      <c r="H60" s="12">
        <f t="shared" si="20"/>
        <v>-0.24655817014751183</v>
      </c>
      <c r="I60" s="12">
        <f t="shared" si="20"/>
        <v>0.14396285365082681</v>
      </c>
      <c r="J60" s="12">
        <f t="shared" si="20"/>
        <v>-3.1270770140874475E-2</v>
      </c>
      <c r="K60" s="12">
        <f t="shared" si="20"/>
        <v>5.1124297947877241E-2</v>
      </c>
      <c r="L60" s="12">
        <f t="shared" si="20"/>
        <v>0.24207425472168828</v>
      </c>
      <c r="M60" s="12">
        <f t="shared" si="20"/>
        <v>7.8259556622540305E-2</v>
      </c>
      <c r="N60" s="12">
        <f t="shared" si="20"/>
        <v>9.2031005788469705E-2</v>
      </c>
    </row>
    <row r="61" spans="2:17" hidden="1" x14ac:dyDescent="0.2">
      <c r="C61" s="12">
        <f t="shared" si="10"/>
        <v>0.1865963234469063</v>
      </c>
      <c r="D61" s="12">
        <f t="shared" ref="D61:N61" si="21">(D23-D22)/D22</f>
        <v>7.9842421840984223E-2</v>
      </c>
      <c r="E61" s="12">
        <f t="shared" si="21"/>
        <v>9.9874554066565341E-2</v>
      </c>
      <c r="F61" s="12">
        <f t="shared" si="21"/>
        <v>0.32418754665270333</v>
      </c>
      <c r="G61" s="12">
        <f t="shared" si="21"/>
        <v>4.7901905491617894E-2</v>
      </c>
      <c r="H61" s="12">
        <f t="shared" si="21"/>
        <v>0.39088502794394553</v>
      </c>
      <c r="I61" s="12">
        <f t="shared" si="21"/>
        <v>-0.14067989164833605</v>
      </c>
      <c r="J61" s="12">
        <f t="shared" si="21"/>
        <v>0.20522620813357026</v>
      </c>
      <c r="K61" s="12">
        <f t="shared" si="21"/>
        <v>0.16585080173337682</v>
      </c>
      <c r="L61" s="12">
        <f t="shared" si="21"/>
        <v>-7.3904667135965177E-2</v>
      </c>
      <c r="M61" s="12">
        <f t="shared" si="21"/>
        <v>0.26423266837876352</v>
      </c>
      <c r="N61" s="12">
        <f t="shared" si="21"/>
        <v>2.1489118315301148E-2</v>
      </c>
    </row>
    <row r="62" spans="2:17" hidden="1" x14ac:dyDescent="0.2">
      <c r="C62" s="12">
        <f t="shared" si="10"/>
        <v>3.7674832974201128E-2</v>
      </c>
      <c r="D62" s="12">
        <f t="shared" ref="D62:N62" si="22">(D24-D23)/D23</f>
        <v>4.9055420637004077E-2</v>
      </c>
      <c r="E62" s="12">
        <f t="shared" si="22"/>
        <v>9.317329452215356E-2</v>
      </c>
      <c r="F62" s="12">
        <f t="shared" si="22"/>
        <v>1.7437807925860829E-2</v>
      </c>
      <c r="G62" s="12">
        <f t="shared" si="22"/>
        <v>0.18304376094876756</v>
      </c>
      <c r="H62" s="12">
        <f t="shared" si="22"/>
        <v>6.5459317868992117E-2</v>
      </c>
      <c r="I62" s="12">
        <f t="shared" si="22"/>
        <v>0.34360218540636805</v>
      </c>
      <c r="J62" s="12">
        <f t="shared" si="22"/>
        <v>0.11585228905393162</v>
      </c>
      <c r="K62" s="12">
        <f t="shared" si="22"/>
        <v>0.13778681057383349</v>
      </c>
      <c r="L62" s="12">
        <f t="shared" si="22"/>
        <v>0.36473961229312069</v>
      </c>
      <c r="M62" s="12">
        <f t="shared" si="22"/>
        <v>0.38029116278570979</v>
      </c>
      <c r="N62" s="12">
        <f t="shared" si="22"/>
        <v>0.26882059930257979</v>
      </c>
    </row>
    <row r="63" spans="2:17" hidden="1" x14ac:dyDescent="0.2">
      <c r="C63" s="12">
        <f t="shared" si="10"/>
        <v>0.23411071083515786</v>
      </c>
      <c r="D63" s="12">
        <f t="shared" ref="D63:N63" si="23">(D25-D24)/D24</f>
        <v>0.28559197822271026</v>
      </c>
      <c r="E63" s="12">
        <f t="shared" si="23"/>
        <v>0.22181476319342325</v>
      </c>
      <c r="F63" s="12">
        <f t="shared" si="23"/>
        <v>0.27430050903595382</v>
      </c>
      <c r="G63" s="12">
        <f t="shared" si="23"/>
        <v>0.41021901431140062</v>
      </c>
      <c r="H63" s="12">
        <f t="shared" si="23"/>
        <v>0.26669979072914446</v>
      </c>
      <c r="I63" s="12">
        <f t="shared" si="23"/>
        <v>0.38784059360510753</v>
      </c>
      <c r="J63" s="12">
        <f t="shared" si="23"/>
        <v>0.31690309117771875</v>
      </c>
      <c r="K63" s="12">
        <f t="shared" si="23"/>
        <v>0.43175030467995462</v>
      </c>
      <c r="L63" s="12">
        <f t="shared" si="23"/>
        <v>0.14693588742760494</v>
      </c>
      <c r="M63" s="12">
        <f t="shared" si="23"/>
        <v>0.14408428525885769</v>
      </c>
      <c r="N63" s="12">
        <f t="shared" si="23"/>
        <v>0.12853210459151723</v>
      </c>
    </row>
    <row r="64" spans="2:17" hidden="1" x14ac:dyDescent="0.2">
      <c r="B64" s="4"/>
    </row>
    <row r="65" spans="1:14" hidden="1" x14ac:dyDescent="0.2">
      <c r="A65" s="1" t="s">
        <v>18</v>
      </c>
      <c r="C65" s="1">
        <f>+C45*0.048</f>
        <v>277091.51177164796</v>
      </c>
      <c r="D65" s="1">
        <f t="shared" ref="D65:N65" si="24">+C65+D45*0.048</f>
        <v>550654.72927180794</v>
      </c>
      <c r="E65" s="1">
        <f t="shared" si="24"/>
        <v>860768.62754534394</v>
      </c>
      <c r="F65" s="1">
        <f t="shared" si="24"/>
        <v>1034576.020606464</v>
      </c>
      <c r="G65" s="1">
        <f t="shared" si="24"/>
        <v>1260792.326314752</v>
      </c>
      <c r="H65" s="1">
        <f t="shared" si="24"/>
        <v>1469421.802404864</v>
      </c>
      <c r="I65" s="1">
        <f t="shared" si="24"/>
        <v>1647684.639906816</v>
      </c>
      <c r="J65" s="1">
        <f t="shared" si="24"/>
        <v>1844611.110004992</v>
      </c>
      <c r="K65" s="1">
        <f t="shared" si="24"/>
        <v>2038731.9060049921</v>
      </c>
      <c r="L65" s="1">
        <f t="shared" si="24"/>
        <v>2231641.0717754881</v>
      </c>
      <c r="M65" s="1">
        <f t="shared" si="24"/>
        <v>2407222.5021726722</v>
      </c>
      <c r="N65" s="1">
        <f t="shared" si="24"/>
        <v>2552117.8849090561</v>
      </c>
    </row>
    <row r="66" spans="1:14" hidden="1" x14ac:dyDescent="0.2"/>
    <row r="67" spans="1:14" hidden="1" x14ac:dyDescent="0.2"/>
    <row r="68" spans="1:14" hidden="1" x14ac:dyDescent="0.2">
      <c r="C68" s="1" t="s">
        <v>27</v>
      </c>
      <c r="E68" s="1">
        <f>+J23+K23+L23+M23+N23+C24+D24+E24+F24+G24</f>
        <v>18648201.705839995</v>
      </c>
    </row>
    <row r="69" spans="1:14" hidden="1" x14ac:dyDescent="0.2">
      <c r="C69" s="1" t="s">
        <v>28</v>
      </c>
      <c r="E69" s="1">
        <f>+J24+K24+L24+M24+N24+C25+D25+E25+F25+G25</f>
        <v>23644572.674911998</v>
      </c>
      <c r="F69" s="6">
        <f>(E69-E68)/E68</f>
        <v>0.26792776311011834</v>
      </c>
      <c r="I69" s="6"/>
    </row>
    <row r="70" spans="1:14" hidden="1" x14ac:dyDescent="0.2">
      <c r="F70" s="6"/>
    </row>
    <row r="71" spans="1:14" hidden="1" x14ac:dyDescent="0.2">
      <c r="F71" s="6"/>
    </row>
    <row r="72" spans="1:14" hidden="1" x14ac:dyDescent="0.2">
      <c r="B72" s="1" t="s">
        <v>24</v>
      </c>
      <c r="C72" s="1">
        <f>+I23+J23+K23</f>
        <v>5185733.6669600001</v>
      </c>
      <c r="F72" s="6"/>
    </row>
    <row r="73" spans="1:14" hidden="1" x14ac:dyDescent="0.2">
      <c r="B73" s="1" t="s">
        <v>26</v>
      </c>
      <c r="C73" s="1">
        <f>+L23+M23+N23</f>
        <v>5341428.1071199998</v>
      </c>
    </row>
    <row r="74" spans="1:14" hidden="1" x14ac:dyDescent="0.2">
      <c r="B74" s="1" t="s">
        <v>21</v>
      </c>
      <c r="C74" s="1">
        <f>+C24+D24+E24</f>
        <v>5724002.8731199997</v>
      </c>
    </row>
    <row r="75" spans="1:14" hidden="1" x14ac:dyDescent="0.2">
      <c r="B75" s="1" t="s">
        <v>22</v>
      </c>
      <c r="C75" s="1">
        <f>+F24+G24+H24</f>
        <v>5792901.5502399998</v>
      </c>
    </row>
    <row r="76" spans="1:14" hidden="1" x14ac:dyDescent="0.2">
      <c r="B76" s="1" t="s">
        <v>24</v>
      </c>
      <c r="C76" s="1">
        <f>+I24+J24+K24</f>
        <v>6148609.1903039999</v>
      </c>
    </row>
    <row r="77" spans="1:14" hidden="1" x14ac:dyDescent="0.2">
      <c r="B77" s="1" t="s">
        <v>23</v>
      </c>
      <c r="C77" s="1">
        <f>+L24+M24+N24</f>
        <v>7142006.4564800002</v>
      </c>
    </row>
    <row r="78" spans="1:14" hidden="1" x14ac:dyDescent="0.2">
      <c r="B78" s="1" t="s">
        <v>25</v>
      </c>
      <c r="C78" s="1">
        <f>+C25+D25+E25</f>
        <v>7141920.2732640002</v>
      </c>
    </row>
    <row r="79" spans="1:14" hidden="1" x14ac:dyDescent="0.2"/>
    <row r="81" spans="9:9" x14ac:dyDescent="0.2">
      <c r="I81" s="25" t="s">
        <v>56</v>
      </c>
    </row>
  </sheetData>
  <phoneticPr fontId="0" type="noConversion"/>
  <pageMargins left="0.35" right="0.35" top="0.8" bottom="0.5" header="0.25" footer="0.25"/>
  <pageSetup scale="88" orientation="landscape" r:id="rId1"/>
  <headerFooter alignWithMargins="0">
    <oddHeader>&amp;C&amp;16CITY OF HOBBS, NEW MEXICO
FY 2016
 Gross Receipts Tax Monthly Estimator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Historical GRT</vt:lpstr>
      <vt:lpstr>GRT</vt:lpstr>
      <vt:lpstr>GRT!Print_Area</vt:lpstr>
    </vt:vector>
  </TitlesOfParts>
  <Company>City of Bullhead City -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Bullhead City</dc:creator>
  <cp:lastModifiedBy>Toby Spears</cp:lastModifiedBy>
  <cp:lastPrinted>2016-04-07T14:30:22Z</cp:lastPrinted>
  <dcterms:created xsi:type="dcterms:W3CDTF">2001-06-27T16:31:55Z</dcterms:created>
  <dcterms:modified xsi:type="dcterms:W3CDTF">2016-06-22T20:05:20Z</dcterms:modified>
</cp:coreProperties>
</file>